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uncombecountync-my.sharepoint.com/personal/burnett_walz_buncombecounty_org/Documents/Desktop/Folders/Strategic Partnership/FY2022 Application Scoring/SPG/"/>
    </mc:Choice>
  </mc:AlternateContent>
  <bookViews>
    <workbookView xWindow="0" yWindow="0" windowWidth="25200" windowHeight="11865"/>
  </bookViews>
  <sheets>
    <sheet name="Funding Summary" sheetId="1" r:id="rId1"/>
  </sheets>
  <externalReferences>
    <externalReference r:id="rId2"/>
  </externalReferences>
  <definedNames>
    <definedName name="_xlnm._FilterDatabase" localSheetId="0" hidden="1">'Funding Summary'!$W$5:$AD$57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4" i="1" l="1"/>
  <c r="AB13" i="1"/>
  <c r="AL9" i="1"/>
  <c r="AK9" i="1"/>
  <c r="AJ9" i="1"/>
  <c r="AI9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1" i="1"/>
  <c r="AC38" i="1"/>
  <c r="AC37" i="1"/>
  <c r="AC36" i="1"/>
  <c r="AC35" i="1"/>
  <c r="AC34" i="1"/>
  <c r="AC29" i="1"/>
  <c r="AC27" i="1"/>
  <c r="AC23" i="1"/>
  <c r="AC17" i="1"/>
  <c r="AC14" i="1"/>
  <c r="AC13" i="1"/>
  <c r="AC11" i="1"/>
  <c r="AM9" i="1" l="1"/>
  <c r="AL10" i="1"/>
  <c r="U59" i="1"/>
  <c r="U61" i="1" s="1"/>
  <c r="T59" i="1"/>
  <c r="T61" i="1" s="1"/>
  <c r="S59" i="1"/>
  <c r="S61" i="1" s="1"/>
  <c r="R59" i="1"/>
  <c r="R61" i="1" s="1"/>
  <c r="Q59" i="1"/>
  <c r="Q61" i="1" s="1"/>
  <c r="P59" i="1"/>
  <c r="P61" i="1" s="1"/>
  <c r="O59" i="1"/>
  <c r="O61" i="1" s="1"/>
  <c r="N59" i="1"/>
  <c r="N61" i="1" s="1"/>
  <c r="M59" i="1"/>
  <c r="M61" i="1" s="1"/>
  <c r="AD57" i="1"/>
  <c r="AA57" i="1"/>
  <c r="Z57" i="1"/>
  <c r="Y57" i="1"/>
  <c r="X57" i="1"/>
  <c r="W57" i="1"/>
  <c r="AD56" i="1"/>
  <c r="AA56" i="1"/>
  <c r="Z56" i="1"/>
  <c r="Y56" i="1"/>
  <c r="X56" i="1"/>
  <c r="W56" i="1"/>
  <c r="AD55" i="1"/>
  <c r="AA55" i="1"/>
  <c r="Z55" i="1"/>
  <c r="Y55" i="1"/>
  <c r="X55" i="1"/>
  <c r="W55" i="1"/>
  <c r="AD54" i="1"/>
  <c r="AA54" i="1"/>
  <c r="Z54" i="1"/>
  <c r="Y54" i="1"/>
  <c r="X54" i="1"/>
  <c r="W54" i="1"/>
  <c r="AD53" i="1"/>
  <c r="AA53" i="1"/>
  <c r="Z53" i="1"/>
  <c r="Y53" i="1"/>
  <c r="X53" i="1"/>
  <c r="W53" i="1"/>
  <c r="AD52" i="1"/>
  <c r="AA52" i="1"/>
  <c r="Z52" i="1"/>
  <c r="Y52" i="1"/>
  <c r="X52" i="1"/>
  <c r="W52" i="1"/>
  <c r="AD51" i="1"/>
  <c r="AA51" i="1"/>
  <c r="Z51" i="1"/>
  <c r="Y51" i="1"/>
  <c r="X51" i="1"/>
  <c r="W51" i="1"/>
  <c r="AD50" i="1"/>
  <c r="AA50" i="1"/>
  <c r="Z50" i="1"/>
  <c r="Y50" i="1"/>
  <c r="X50" i="1"/>
  <c r="W50" i="1"/>
  <c r="AD49" i="1"/>
  <c r="AA49" i="1"/>
  <c r="Z49" i="1"/>
  <c r="Y49" i="1"/>
  <c r="X49" i="1"/>
  <c r="W49" i="1"/>
  <c r="AD48" i="1"/>
  <c r="AA48" i="1"/>
  <c r="Z48" i="1"/>
  <c r="Y48" i="1"/>
  <c r="X48" i="1"/>
  <c r="W48" i="1"/>
  <c r="AA47" i="1"/>
  <c r="Z47" i="1"/>
  <c r="Y47" i="1"/>
  <c r="X47" i="1"/>
  <c r="W47" i="1"/>
  <c r="AB47" i="1" s="1"/>
  <c r="AD47" i="1" s="1"/>
  <c r="AD46" i="1"/>
  <c r="AA46" i="1"/>
  <c r="Z46" i="1"/>
  <c r="Y46" i="1"/>
  <c r="X46" i="1"/>
  <c r="W46" i="1"/>
  <c r="AD45" i="1"/>
  <c r="AA45" i="1"/>
  <c r="Z45" i="1"/>
  <c r="Y45" i="1"/>
  <c r="X45" i="1"/>
  <c r="W45" i="1"/>
  <c r="AD44" i="1"/>
  <c r="AA44" i="1"/>
  <c r="Z44" i="1"/>
  <c r="Y44" i="1"/>
  <c r="X44" i="1"/>
  <c r="W44" i="1"/>
  <c r="AA43" i="1"/>
  <c r="Z43" i="1"/>
  <c r="Y43" i="1"/>
  <c r="X43" i="1"/>
  <c r="W43" i="1"/>
  <c r="AB43" i="1" s="1"/>
  <c r="AD43" i="1" s="1"/>
  <c r="AD42" i="1"/>
  <c r="AA42" i="1"/>
  <c r="Z42" i="1"/>
  <c r="Y42" i="1"/>
  <c r="X42" i="1"/>
  <c r="W42" i="1"/>
  <c r="AB42" i="1" s="1"/>
  <c r="AC42" i="1" s="1"/>
  <c r="AA41" i="1"/>
  <c r="Z41" i="1"/>
  <c r="Y41" i="1"/>
  <c r="X41" i="1"/>
  <c r="W41" i="1"/>
  <c r="AB41" i="1" s="1"/>
  <c r="AD41" i="1" s="1"/>
  <c r="AA40" i="1"/>
  <c r="Z40" i="1"/>
  <c r="Y40" i="1"/>
  <c r="X40" i="1"/>
  <c r="W40" i="1"/>
  <c r="AB40" i="1" s="1"/>
  <c r="AA39" i="1"/>
  <c r="Z39" i="1"/>
  <c r="Y39" i="1"/>
  <c r="X39" i="1"/>
  <c r="W39" i="1"/>
  <c r="AB39" i="1" s="1"/>
  <c r="AA38" i="1"/>
  <c r="Z38" i="1"/>
  <c r="Y38" i="1"/>
  <c r="X38" i="1"/>
  <c r="W38" i="1"/>
  <c r="AB38" i="1" s="1"/>
  <c r="AD38" i="1" s="1"/>
  <c r="AA37" i="1"/>
  <c r="Z37" i="1"/>
  <c r="Y37" i="1"/>
  <c r="X37" i="1"/>
  <c r="W37" i="1"/>
  <c r="AA36" i="1"/>
  <c r="Z36" i="1"/>
  <c r="Y36" i="1"/>
  <c r="X36" i="1"/>
  <c r="W36" i="1"/>
  <c r="AA35" i="1"/>
  <c r="Z35" i="1"/>
  <c r="Y35" i="1"/>
  <c r="X35" i="1"/>
  <c r="W35" i="1"/>
  <c r="AB35" i="1" s="1"/>
  <c r="AD35" i="1" s="1"/>
  <c r="AA34" i="1"/>
  <c r="Z34" i="1"/>
  <c r="Y34" i="1"/>
  <c r="X34" i="1"/>
  <c r="W34" i="1"/>
  <c r="AB34" i="1" s="1"/>
  <c r="AD34" i="1" s="1"/>
  <c r="AA33" i="1"/>
  <c r="Z33" i="1"/>
  <c r="Y33" i="1"/>
  <c r="X33" i="1"/>
  <c r="W33" i="1"/>
  <c r="AB33" i="1" s="1"/>
  <c r="AA32" i="1"/>
  <c r="Z32" i="1"/>
  <c r="Y32" i="1"/>
  <c r="X32" i="1"/>
  <c r="W32" i="1"/>
  <c r="AB32" i="1" s="1"/>
  <c r="AA31" i="1"/>
  <c r="Z31" i="1"/>
  <c r="Y31" i="1"/>
  <c r="X31" i="1"/>
  <c r="W31" i="1"/>
  <c r="AB31" i="1" s="1"/>
  <c r="AA30" i="1"/>
  <c r="Z30" i="1"/>
  <c r="Y30" i="1"/>
  <c r="X30" i="1"/>
  <c r="W30" i="1"/>
  <c r="AB30" i="1" s="1"/>
  <c r="AA29" i="1"/>
  <c r="Z29" i="1"/>
  <c r="Y29" i="1"/>
  <c r="X29" i="1"/>
  <c r="W29" i="1"/>
  <c r="AB29" i="1" s="1"/>
  <c r="AD29" i="1" s="1"/>
  <c r="AA28" i="1"/>
  <c r="Z28" i="1"/>
  <c r="Y28" i="1"/>
  <c r="X28" i="1"/>
  <c r="W28" i="1"/>
  <c r="AB28" i="1" s="1"/>
  <c r="AA27" i="1"/>
  <c r="Z27" i="1"/>
  <c r="Y27" i="1"/>
  <c r="X27" i="1"/>
  <c r="W27" i="1"/>
  <c r="AB27" i="1" s="1"/>
  <c r="AD27" i="1" s="1"/>
  <c r="AA26" i="1"/>
  <c r="Z26" i="1"/>
  <c r="Y26" i="1"/>
  <c r="X26" i="1"/>
  <c r="W26" i="1"/>
  <c r="AB26" i="1" s="1"/>
  <c r="AA25" i="1"/>
  <c r="Z25" i="1"/>
  <c r="Y25" i="1"/>
  <c r="X25" i="1"/>
  <c r="W25" i="1"/>
  <c r="AB25" i="1" s="1"/>
  <c r="AA24" i="1"/>
  <c r="Z24" i="1"/>
  <c r="Y24" i="1"/>
  <c r="X24" i="1"/>
  <c r="W24" i="1"/>
  <c r="AB24" i="1" s="1"/>
  <c r="AA23" i="1"/>
  <c r="Z23" i="1"/>
  <c r="Y23" i="1"/>
  <c r="X23" i="1"/>
  <c r="W23" i="1"/>
  <c r="AB23" i="1" s="1"/>
  <c r="AD23" i="1" s="1"/>
  <c r="AA22" i="1"/>
  <c r="Z22" i="1"/>
  <c r="Y22" i="1"/>
  <c r="X22" i="1"/>
  <c r="W22" i="1"/>
  <c r="AB22" i="1" s="1"/>
  <c r="AA21" i="1"/>
  <c r="Z21" i="1"/>
  <c r="Y21" i="1"/>
  <c r="X21" i="1"/>
  <c r="W21" i="1"/>
  <c r="AB21" i="1" s="1"/>
  <c r="AA20" i="1"/>
  <c r="Z20" i="1"/>
  <c r="Y20" i="1"/>
  <c r="X20" i="1"/>
  <c r="W20" i="1"/>
  <c r="AA19" i="1"/>
  <c r="Z19" i="1"/>
  <c r="Y19" i="1"/>
  <c r="X19" i="1"/>
  <c r="W19" i="1"/>
  <c r="AB19" i="1" s="1"/>
  <c r="AA18" i="1"/>
  <c r="Z18" i="1"/>
  <c r="Y18" i="1"/>
  <c r="X18" i="1"/>
  <c r="W18" i="1"/>
  <c r="AB18" i="1" s="1"/>
  <c r="AA17" i="1"/>
  <c r="Z17" i="1"/>
  <c r="Y17" i="1"/>
  <c r="X17" i="1"/>
  <c r="W17" i="1"/>
  <c r="AB17" i="1" s="1"/>
  <c r="AD17" i="1" s="1"/>
  <c r="AA16" i="1"/>
  <c r="Z16" i="1"/>
  <c r="Y16" i="1"/>
  <c r="X16" i="1"/>
  <c r="W16" i="1"/>
  <c r="AB16" i="1" s="1"/>
  <c r="AA15" i="1"/>
  <c r="Z15" i="1"/>
  <c r="Y15" i="1"/>
  <c r="X15" i="1"/>
  <c r="W15" i="1"/>
  <c r="AB15" i="1" s="1"/>
  <c r="AA14" i="1"/>
  <c r="Z14" i="1"/>
  <c r="Y14" i="1"/>
  <c r="X14" i="1"/>
  <c r="W14" i="1"/>
  <c r="AD14" i="1" s="1"/>
  <c r="AA13" i="1"/>
  <c r="Z13" i="1"/>
  <c r="Y13" i="1"/>
  <c r="X13" i="1"/>
  <c r="W13" i="1"/>
  <c r="AD13" i="1" s="1"/>
  <c r="AA12" i="1"/>
  <c r="Z12" i="1"/>
  <c r="Y12" i="1"/>
  <c r="X12" i="1"/>
  <c r="W12" i="1"/>
  <c r="AA11" i="1"/>
  <c r="Z11" i="1"/>
  <c r="Y11" i="1"/>
  <c r="X11" i="1"/>
  <c r="W11" i="1"/>
  <c r="AB11" i="1" s="1"/>
  <c r="AD11" i="1" s="1"/>
  <c r="AA10" i="1"/>
  <c r="Z10" i="1"/>
  <c r="Y10" i="1"/>
  <c r="X10" i="1"/>
  <c r="W10" i="1"/>
  <c r="AA9" i="1"/>
  <c r="Z9" i="1"/>
  <c r="Y9" i="1"/>
  <c r="X9" i="1"/>
  <c r="W9" i="1"/>
  <c r="AC9" i="1" s="1"/>
  <c r="AA8" i="1"/>
  <c r="Z8" i="1"/>
  <c r="Y8" i="1"/>
  <c r="X8" i="1"/>
  <c r="W8" i="1"/>
  <c r="AB8" i="1" s="1"/>
  <c r="AA7" i="1"/>
  <c r="Z7" i="1"/>
  <c r="Y7" i="1"/>
  <c r="X7" i="1"/>
  <c r="W7" i="1"/>
  <c r="AC7" i="1" s="1"/>
  <c r="AA6" i="1"/>
  <c r="Z6" i="1"/>
  <c r="Y6" i="1"/>
  <c r="X6" i="1"/>
  <c r="W6" i="1"/>
  <c r="AB6" i="1" s="1"/>
  <c r="AC6" i="1" s="1"/>
  <c r="U5" i="1"/>
  <c r="T5" i="1"/>
  <c r="S5" i="1"/>
  <c r="R5" i="1"/>
  <c r="Q5" i="1"/>
  <c r="P5" i="1"/>
  <c r="O5" i="1"/>
  <c r="N5" i="1"/>
  <c r="M5" i="1"/>
  <c r="AJ10" i="1" l="1"/>
  <c r="AI10" i="1"/>
  <c r="AK10" i="1"/>
  <c r="AN9" i="1"/>
  <c r="AM10" i="1"/>
  <c r="AB37" i="1"/>
  <c r="AD37" i="1" s="1"/>
  <c r="AB36" i="1"/>
  <c r="AD36" i="1" s="1"/>
  <c r="AD8" i="1"/>
  <c r="AC8" i="1"/>
  <c r="AD20" i="1"/>
  <c r="AC20" i="1"/>
  <c r="AD24" i="1"/>
  <c r="AC24" i="1"/>
  <c r="AD32" i="1"/>
  <c r="AC32" i="1"/>
  <c r="AD40" i="1"/>
  <c r="AC40" i="1"/>
  <c r="AD33" i="1"/>
  <c r="AC33" i="1"/>
  <c r="AD10" i="1"/>
  <c r="AC10" i="1"/>
  <c r="AD18" i="1"/>
  <c r="AC18" i="1"/>
  <c r="AD22" i="1"/>
  <c r="AC22" i="1"/>
  <c r="AD26" i="1"/>
  <c r="AC26" i="1"/>
  <c r="AD30" i="1"/>
  <c r="AC30" i="1"/>
  <c r="AD12" i="1"/>
  <c r="AC12" i="1"/>
  <c r="AD16" i="1"/>
  <c r="AC16" i="1"/>
  <c r="AD28" i="1"/>
  <c r="AC28" i="1"/>
  <c r="AK6" i="1"/>
  <c r="AK11" i="1" s="1"/>
  <c r="AC21" i="1"/>
  <c r="AD25" i="1"/>
  <c r="AC25" i="1"/>
  <c r="AD15" i="1"/>
  <c r="AC15" i="1"/>
  <c r="AD19" i="1"/>
  <c r="AC19" i="1"/>
  <c r="AD31" i="1"/>
  <c r="AC31" i="1"/>
  <c r="AD39" i="1"/>
  <c r="AC39" i="1"/>
  <c r="AJ6" i="1"/>
  <c r="AJ11" i="1" s="1"/>
  <c r="AD7" i="1"/>
  <c r="AD9" i="1"/>
  <c r="AD21" i="1"/>
  <c r="AD6" i="1"/>
  <c r="AL6" i="1"/>
  <c r="AL11" i="1" s="1"/>
  <c r="W59" i="1"/>
  <c r="W61" i="1" s="1"/>
  <c r="X59" i="1"/>
  <c r="X61" i="1" s="1"/>
  <c r="AB59" i="1" l="1"/>
  <c r="AB61" i="1" s="1"/>
  <c r="AI6" i="1"/>
  <c r="AI11" i="1" s="1"/>
  <c r="AM6" i="1"/>
  <c r="AI7" i="1" s="1"/>
  <c r="AJ7" i="1" l="1"/>
  <c r="AL7" i="1"/>
  <c r="AM7" i="1"/>
  <c r="AK7" i="1"/>
</calcChain>
</file>

<file path=xl/sharedStrings.xml><?xml version="1.0" encoding="utf-8"?>
<sst xmlns="http://schemas.openxmlformats.org/spreadsheetml/2006/main" count="197" uniqueCount="140">
  <si>
    <t>Total Budget to Allocate</t>
  </si>
  <si>
    <t>Committee Member Recommended Funding Level</t>
  </si>
  <si>
    <t>Funding by Strategy</t>
  </si>
  <si>
    <t>Values</t>
  </si>
  <si>
    <t>Project Name</t>
  </si>
  <si>
    <t>Organization Name</t>
  </si>
  <si>
    <t>Strategy</t>
  </si>
  <si>
    <t>FY21 Grant $'s</t>
  </si>
  <si>
    <t>FY22 Request</t>
  </si>
  <si>
    <t>Min. Pts</t>
  </si>
  <si>
    <t>Max. Pts</t>
  </si>
  <si>
    <t>Members Scoring</t>
  </si>
  <si>
    <t>Total Pts</t>
  </si>
  <si>
    <t>% Score</t>
  </si>
  <si>
    <t>Median</t>
  </si>
  <si>
    <t>Mean (Avg)</t>
  </si>
  <si>
    <t>Funding Count</t>
  </si>
  <si>
    <t>High Funding</t>
  </si>
  <si>
    <t>Low Funding</t>
  </si>
  <si>
    <t>Funded Amount</t>
  </si>
  <si>
    <t>% of Request</t>
  </si>
  <si>
    <t>Resident Well-Being</t>
  </si>
  <si>
    <t>Educated &amp; Capable Community</t>
  </si>
  <si>
    <t>Environmental Stewardship</t>
  </si>
  <si>
    <t>Vibrant Economy</t>
  </si>
  <si>
    <t>Total</t>
  </si>
  <si>
    <t>YWCA Getting Ahead Program</t>
  </si>
  <si>
    <t>YWCA of Asheville and Western North Carolina</t>
  </si>
  <si>
    <t>Legal Services for Children and Families in Buncombe County</t>
  </si>
  <si>
    <t>Pisgah Legal Services</t>
  </si>
  <si>
    <t>% of Total</t>
  </si>
  <si>
    <t>Free Tax Preparation through Volunteer Income Tax Assistance (VITA)</t>
  </si>
  <si>
    <t>OnTrack Financial Education &amp; Counseling</t>
  </si>
  <si>
    <t xml:space="preserve"> Attendance, Behavior, Coursework, Social-Emotional Learning + Parent Engagement for K-6 Students</t>
  </si>
  <si>
    <t>Children First/Communities in Schools of Buncombe County</t>
  </si>
  <si>
    <t>Hide after finalizing</t>
  </si>
  <si>
    <t>Family Visitation Program</t>
  </si>
  <si>
    <t>The Mediation Center</t>
  </si>
  <si>
    <t>Funding Count Shading</t>
  </si>
  <si>
    <t>Survivors Thrive - Virtual delivery of Our VOICE Counseling</t>
  </si>
  <si>
    <t>Our VOICE</t>
  </si>
  <si>
    <t>Green</t>
  </si>
  <si>
    <t>Haywood Street Respite (HSR)</t>
  </si>
  <si>
    <t>Haywood Street Congregation</t>
  </si>
  <si>
    <t>Red</t>
  </si>
  <si>
    <t>Project NAF (Nurturing Asheville &amp; Area Families</t>
  </si>
  <si>
    <t>Mount Zion Community Development, Inc.</t>
  </si>
  <si>
    <t>Healthy Streams, Healthy Communities: Tackling Water Quality and Flooding in the Southside Community</t>
  </si>
  <si>
    <t>RiverLink</t>
  </si>
  <si>
    <t>YWCA Swim Equity</t>
  </si>
  <si>
    <t>Pathways to Opportunity</t>
  </si>
  <si>
    <t>Literacy Together (formerly Literacy Council of Buncombe County)</t>
  </si>
  <si>
    <t>Project Access® Social Resources Initiative</t>
  </si>
  <si>
    <t>Western Carolina Medical Society Foundation</t>
  </si>
  <si>
    <t>Appalachian Grown: Strengthening Connections Across Buncombe County</t>
  </si>
  <si>
    <t>Appalachian Sustainable Agriculture Project</t>
  </si>
  <si>
    <t>Project Lighten Up Summer Learning Academy</t>
  </si>
  <si>
    <t>Project Lighten Up</t>
  </si>
  <si>
    <t>Diaper Assistance for Families in Crisis</t>
  </si>
  <si>
    <t>Babies Need Bottoms</t>
  </si>
  <si>
    <t>Volunteer Water Information Network (VWIN) - Buncombe County</t>
  </si>
  <si>
    <t>The Environmental Quality Institute</t>
  </si>
  <si>
    <t>Community-Powered K-3 Literacy | Engaging Children, Families, and Community Partners</t>
  </si>
  <si>
    <t>Read to Succeed</t>
  </si>
  <si>
    <t>Stepping To Success: Closing the Unemployment Gap for Women in Buncombe County</t>
  </si>
  <si>
    <t>Asheville Buncombe Community Christian Ministry</t>
  </si>
  <si>
    <t>Expanding Entrepreneurship and Jobs in Communities of Color</t>
  </si>
  <si>
    <t>Mountain BizWorks</t>
  </si>
  <si>
    <t>Eliada Students Training for Advancement</t>
  </si>
  <si>
    <t>Eliada Homes, Inc</t>
  </si>
  <si>
    <t>Trash and Trees: A Greener Buncombe County for a Sustainable Future for All</t>
  </si>
  <si>
    <t>Asheville GreenWorks</t>
  </si>
  <si>
    <t>Cultivating Resilience and Supporting the Reunification Process for Youth in Foster Care</t>
  </si>
  <si>
    <t>Under One Sky Village Foundation</t>
  </si>
  <si>
    <t>Western Women's Business Center (WWBC)</t>
  </si>
  <si>
    <t>Carolina Small Business Development Fund</t>
  </si>
  <si>
    <t>Horizons at Carolina Day Equity-Centered Enrichment Program Expansion</t>
  </si>
  <si>
    <t>Horizons at Carolina Day</t>
  </si>
  <si>
    <t>Pets &amp; Their People Thriving Together</t>
  </si>
  <si>
    <t>Asheville Humane Society</t>
  </si>
  <si>
    <t>STEM the COVID Slide: Close K-8 learning gaps using dynamic science education during a pandemic</t>
  </si>
  <si>
    <t>Asheville Museum of Science (AMOS)</t>
  </si>
  <si>
    <t>School Garden and Outdoor Education Support</t>
  </si>
  <si>
    <t>Bountiful Cities</t>
  </si>
  <si>
    <t>Wortham Center for the Performing Arts: A Community Resource</t>
  </si>
  <si>
    <t>Wortham Center for the Performing Arts</t>
  </si>
  <si>
    <t>Water Supplementation and Staff/Volunteer Supplies for "The Vine" Community Garden</t>
  </si>
  <si>
    <t>HELP (Hands Enriching Life Positively)</t>
  </si>
  <si>
    <t>MusicWorks Asheville</t>
  </si>
  <si>
    <t>Expanding the Kids in Parks Platform and Impact in Buncombe County</t>
  </si>
  <si>
    <t>Blue Ridge Parkway Foundation</t>
  </si>
  <si>
    <t>The Face of Hope</t>
  </si>
  <si>
    <t>Buncombe County Schools Family Resource Center</t>
  </si>
  <si>
    <t>House of Victory: Peer-Led Sober, &amp; Supportive transitional housing for Recovery/Re-Entry</t>
  </si>
  <si>
    <t>Jordan Peer Recovery, Inc</t>
  </si>
  <si>
    <t>Sandy Mush Community Center - Building for a Healthy, Engaged and Connected Community</t>
  </si>
  <si>
    <t>Sandy Mush Community Ctr.</t>
  </si>
  <si>
    <t>Growing the Go Local Movement to build a sustainable and equitable regional economy</t>
  </si>
  <si>
    <t>Asheville Grown Business Alliance</t>
  </si>
  <si>
    <t>Marvelous Math Club (MMC)</t>
  </si>
  <si>
    <t>University of North Carolina at Asheville Foundation</t>
  </si>
  <si>
    <t>Community Art Initiatives: Programs, Economic Development  &amp; Recovery</t>
  </si>
  <si>
    <t>Asheville Area Arts Council</t>
  </si>
  <si>
    <t>Friends for Social Justice</t>
  </si>
  <si>
    <t>The Council on Aging of Buncombe County, Inc.</t>
  </si>
  <si>
    <t>Supporting the Humanity of Brown and Black Youth</t>
  </si>
  <si>
    <t>One Youth At A Time, Inc.</t>
  </si>
  <si>
    <t>YTL Training Programs Learning, Growing and Thriving Together</t>
  </si>
  <si>
    <t>YTL Training Program</t>
  </si>
  <si>
    <t>Academic Enhancement Program</t>
  </si>
  <si>
    <t>Partners Unlimited, Inc.</t>
  </si>
  <si>
    <t>Asheville Art Museum: Building Capacity for Recovery</t>
  </si>
  <si>
    <t>Asheville Art Museum</t>
  </si>
  <si>
    <t>Connected Communities</t>
  </si>
  <si>
    <t>SeekHealing</t>
  </si>
  <si>
    <t>YMI Strategic Partnership Project</t>
  </si>
  <si>
    <t>YMI Cultural Center</t>
  </si>
  <si>
    <t>Engaging Environmental Education for Buncombe County Students</t>
  </si>
  <si>
    <t>Friend of the Nature Center</t>
  </si>
  <si>
    <t>The Teaching Horse: Regulate, Relate, Reason Support for Teachers</t>
  </si>
  <si>
    <t>Heart of Horse Sense</t>
  </si>
  <si>
    <t>100% Renewables Strategic and Implmentation Plan</t>
  </si>
  <si>
    <t>Green Built Alliance</t>
  </si>
  <si>
    <t>Shindig on the Green</t>
  </si>
  <si>
    <t>Folk Heritage Committee</t>
  </si>
  <si>
    <t>Engaging Communities for a Resilient Future</t>
  </si>
  <si>
    <t>WNC Communities</t>
  </si>
  <si>
    <t>Skyview Open: Annual PRO/AM Golf Tournament</t>
  </si>
  <si>
    <t>Skyview Golf Association</t>
  </si>
  <si>
    <t>Big Ivy Community Club Funding 2022</t>
  </si>
  <si>
    <t>Big Ivy Community Club</t>
  </si>
  <si>
    <t>Leadership Legacy Training</t>
  </si>
  <si>
    <t>JM Leadership Consulting</t>
  </si>
  <si>
    <t>Total Funding</t>
  </si>
  <si>
    <t>Variance to Total Budget</t>
  </si>
  <si>
    <t>Total Request</t>
  </si>
  <si>
    <t>% Funded of Requested</t>
  </si>
  <si>
    <t>We need to resume with this project</t>
  </si>
  <si>
    <t>Funded Amt to Prior Yr $'s</t>
  </si>
  <si>
    <t>Excludes value for 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</si>
</sst>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;\-0.0%;0.0%"/>
  </numFmts>
  <fonts count="9" x14ac:knownFonts="1"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medium">
        <color indexed="64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medium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medium">
        <color indexed="64"/>
      </bottom>
      <diagonal/>
    </border>
    <border>
      <left style="thin">
        <color theme="4" tint="0.59996337778862885"/>
      </left>
      <right style="medium">
        <color indexed="64"/>
      </right>
      <top style="thin">
        <color theme="4" tint="0.59996337778862885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3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164" fontId="4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0" fontId="1" fillId="0" borderId="3" xfId="3" applyFill="1" applyBorder="1" applyAlignment="1">
      <alignment horizontal="center"/>
    </xf>
    <xf numFmtId="0" fontId="1" fillId="0" borderId="0" xfId="3" applyAlignment="1"/>
    <xf numFmtId="0" fontId="0" fillId="3" borderId="0" xfId="0" applyFill="1" applyBorder="1">
      <alignment vertical="center"/>
    </xf>
    <xf numFmtId="0" fontId="0" fillId="3" borderId="5" xfId="0" applyFill="1" applyBorder="1">
      <alignment vertical="center"/>
    </xf>
    <xf numFmtId="0" fontId="6" fillId="3" borderId="0" xfId="0" applyFont="1" applyFill="1" applyBorder="1">
      <alignment vertical="center"/>
    </xf>
    <xf numFmtId="0" fontId="0" fillId="3" borderId="6" xfId="0" applyFill="1" applyBorder="1">
      <alignment vertical="center"/>
    </xf>
    <xf numFmtId="0" fontId="0" fillId="0" borderId="0" xfId="0" applyFill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0" borderId="10" xfId="3" applyBorder="1" applyAlignment="1">
      <alignment horizontal="center" vertical="center"/>
    </xf>
    <xf numFmtId="0" fontId="1" fillId="0" borderId="3" xfId="3" applyFill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Font="1" applyFill="1" applyBorder="1">
      <alignment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4" fontId="8" fillId="0" borderId="16" xfId="0" applyNumberFormat="1" applyFont="1" applyBorder="1">
      <alignment vertical="center"/>
    </xf>
    <xf numFmtId="3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vertical="center"/>
    </xf>
    <xf numFmtId="164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64" fontId="0" fillId="2" borderId="10" xfId="1" applyNumberFormat="1" applyFont="1" applyFill="1" applyBorder="1" applyAlignment="1">
      <alignment vertical="center"/>
    </xf>
    <xf numFmtId="9" fontId="0" fillId="0" borderId="10" xfId="2" applyFont="1" applyBorder="1" applyAlignment="1">
      <alignment vertical="center"/>
    </xf>
    <xf numFmtId="0" fontId="2" fillId="4" borderId="10" xfId="3" applyFont="1" applyFill="1" applyBorder="1" applyAlignment="1">
      <alignment horizontal="center" vertical="center" wrapText="1"/>
    </xf>
    <xf numFmtId="5" fontId="3" fillId="0" borderId="18" xfId="1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164" fontId="8" fillId="0" borderId="20" xfId="0" applyNumberFormat="1" applyFont="1" applyBorder="1">
      <alignment vertical="center"/>
    </xf>
    <xf numFmtId="3" fontId="8" fillId="0" borderId="20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9" fontId="3" fillId="0" borderId="10" xfId="2" applyFont="1" applyFill="1" applyBorder="1" applyAlignment="1">
      <alignment horizontal="center" vertical="center"/>
    </xf>
    <xf numFmtId="164" fontId="0" fillId="2" borderId="10" xfId="0" applyNumberFormat="1" applyFill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164" fontId="8" fillId="0" borderId="23" xfId="0" applyNumberFormat="1" applyFont="1" applyBorder="1">
      <alignment vertical="center"/>
    </xf>
    <xf numFmtId="3" fontId="8" fillId="0" borderId="23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164" fontId="0" fillId="0" borderId="0" xfId="0" applyNumberFormat="1">
      <alignment vertical="center"/>
    </xf>
    <xf numFmtId="164" fontId="0" fillId="0" borderId="0" xfId="1" applyNumberFormat="1" applyFont="1" applyAlignment="1">
      <alignment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1" fillId="0" borderId="0" xfId="3" applyFill="1" applyAlignment="1"/>
    <xf numFmtId="164" fontId="0" fillId="0" borderId="10" xfId="1" applyNumberFormat="1" applyFont="1" applyFill="1" applyBorder="1" applyAlignment="1">
      <alignment vertical="center"/>
    </xf>
    <xf numFmtId="164" fontId="0" fillId="0" borderId="0" xfId="0" applyNumberFormat="1" applyFill="1" applyBorder="1">
      <alignment vertical="center"/>
    </xf>
    <xf numFmtId="9" fontId="0" fillId="0" borderId="0" xfId="2" applyFont="1" applyAlignment="1">
      <alignment vertical="center"/>
    </xf>
    <xf numFmtId="0" fontId="0" fillId="0" borderId="0" xfId="0" applyAlignment="1">
      <alignment vertical="center" wrapText="1"/>
    </xf>
    <xf numFmtId="164" fontId="0" fillId="5" borderId="10" xfId="1" applyNumberFormat="1" applyFont="1" applyFill="1" applyBorder="1" applyAlignment="1">
      <alignment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0215\OneDrive%20-%20Buncombe%20County%20Government\Desktop\Committee%20Scoring%20Models\Strategic%20Partnerships%20Grant%20Scoring%20Model%20(FY2022)%20-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 Summary for Distro."/>
      <sheetName val="Funding Summary"/>
      <sheetName val="Summary (2)"/>
      <sheetName val="Scores by Category"/>
      <sheetName val="validation"/>
      <sheetName val="Scoring Data"/>
      <sheetName val="App's Recieved"/>
      <sheetName val="Consolidation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</row>
        <row r="2">
          <cell r="B2" t="str">
            <v>Project Name</v>
          </cell>
          <cell r="C2" t="str">
            <v>Organization Name</v>
          </cell>
          <cell r="D2">
            <v>1</v>
          </cell>
          <cell r="E2">
            <v>2</v>
          </cell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</row>
        <row r="3">
          <cell r="B3" t="str">
            <v>YWCA Getting Ahead Program</v>
          </cell>
          <cell r="C3" t="str">
            <v>YWCA of Asheville and Western North Carolina</v>
          </cell>
          <cell r="D3">
            <v>27000</v>
          </cell>
          <cell r="E3">
            <v>21000</v>
          </cell>
          <cell r="F3">
            <v>30000</v>
          </cell>
          <cell r="G3">
            <v>25000</v>
          </cell>
          <cell r="H3">
            <v>20500</v>
          </cell>
          <cell r="I3">
            <v>30000</v>
          </cell>
          <cell r="J3">
            <v>25000</v>
          </cell>
          <cell r="K3">
            <v>25000</v>
          </cell>
          <cell r="L3">
            <v>22500</v>
          </cell>
        </row>
        <row r="4">
          <cell r="B4" t="str">
            <v>Legal Services for Children and Families in Buncombe County</v>
          </cell>
          <cell r="C4" t="str">
            <v>Pisgah Legal Services</v>
          </cell>
          <cell r="D4">
            <v>50000</v>
          </cell>
          <cell r="E4">
            <v>84000</v>
          </cell>
          <cell r="F4">
            <v>100000</v>
          </cell>
          <cell r="G4">
            <v>90000</v>
          </cell>
          <cell r="H4">
            <v>75000</v>
          </cell>
          <cell r="I4">
            <v>50000</v>
          </cell>
          <cell r="J4">
            <v>95000</v>
          </cell>
          <cell r="K4">
            <v>87000</v>
          </cell>
          <cell r="L4">
            <v>96000</v>
          </cell>
        </row>
        <row r="5">
          <cell r="B5" t="str">
            <v>Free Tax Preparation through Volunteer Income Tax Assistance (VITA)</v>
          </cell>
          <cell r="C5" t="str">
            <v>OnTrack Financial Education &amp; Counseling</v>
          </cell>
          <cell r="D5">
            <v>16200</v>
          </cell>
          <cell r="E5">
            <v>18000</v>
          </cell>
          <cell r="F5">
            <v>15000</v>
          </cell>
          <cell r="G5">
            <v>12900</v>
          </cell>
          <cell r="H5">
            <v>11000</v>
          </cell>
          <cell r="I5">
            <v>18000</v>
          </cell>
          <cell r="J5">
            <v>15000</v>
          </cell>
          <cell r="K5">
            <v>12900</v>
          </cell>
          <cell r="L5">
            <v>12900</v>
          </cell>
        </row>
        <row r="6">
          <cell r="B6" t="str">
            <v xml:space="preserve"> Attendance, Behavior, Coursework, Social-Emotional Learning + Parent Engagement for K-6 Students</v>
          </cell>
          <cell r="C6" t="str">
            <v>Children First/Communities in Schools of Buncombe County</v>
          </cell>
          <cell r="D6">
            <v>50000</v>
          </cell>
          <cell r="E6">
            <v>80000</v>
          </cell>
          <cell r="F6">
            <v>70000</v>
          </cell>
          <cell r="G6">
            <v>50000</v>
          </cell>
          <cell r="H6">
            <v>54500</v>
          </cell>
          <cell r="I6">
            <v>50000</v>
          </cell>
          <cell r="J6">
            <v>72000</v>
          </cell>
          <cell r="K6">
            <v>70240</v>
          </cell>
          <cell r="L6">
            <v>42953</v>
          </cell>
        </row>
        <row r="7">
          <cell r="B7" t="str">
            <v>Family Visitation Program</v>
          </cell>
          <cell r="C7" t="str">
            <v>The Mediation Center</v>
          </cell>
          <cell r="D7">
            <v>9000</v>
          </cell>
          <cell r="E7">
            <v>7000</v>
          </cell>
          <cell r="F7">
            <v>10000</v>
          </cell>
          <cell r="G7">
            <v>10000</v>
          </cell>
          <cell r="H7">
            <v>7000</v>
          </cell>
          <cell r="I7">
            <v>10000</v>
          </cell>
          <cell r="J7">
            <v>8000</v>
          </cell>
          <cell r="K7">
            <v>8500</v>
          </cell>
          <cell r="L7">
            <v>7500</v>
          </cell>
        </row>
        <row r="8">
          <cell r="B8" t="str">
            <v>Survivors Thrive - Virtual delivery of Our VOICE Counseling</v>
          </cell>
          <cell r="C8" t="str">
            <v>Our VOICE</v>
          </cell>
          <cell r="D8">
            <v>14000</v>
          </cell>
          <cell r="E8">
            <v>14000</v>
          </cell>
          <cell r="F8">
            <v>15000</v>
          </cell>
          <cell r="G8">
            <v>20000</v>
          </cell>
          <cell r="H8">
            <v>14500</v>
          </cell>
          <cell r="I8">
            <v>16000</v>
          </cell>
          <cell r="J8">
            <v>17500</v>
          </cell>
          <cell r="K8">
            <v>18000</v>
          </cell>
          <cell r="L8">
            <v>15000</v>
          </cell>
        </row>
        <row r="9">
          <cell r="B9" t="str">
            <v>Haywood Street Respite (HSR)</v>
          </cell>
          <cell r="C9" t="str">
            <v>Haywood Street Congregation</v>
          </cell>
          <cell r="D9">
            <v>35000</v>
          </cell>
          <cell r="E9">
            <v>35000</v>
          </cell>
          <cell r="F9">
            <v>45000</v>
          </cell>
          <cell r="G9">
            <v>40000</v>
          </cell>
          <cell r="H9">
            <v>30000</v>
          </cell>
          <cell r="I9">
            <v>40000</v>
          </cell>
          <cell r="J9">
            <v>44000</v>
          </cell>
          <cell r="K9">
            <v>45444</v>
          </cell>
          <cell r="L9">
            <v>37500</v>
          </cell>
        </row>
        <row r="10">
          <cell r="B10" t="str">
            <v>Project NAF (Nurturing Asheville &amp; Area Families</v>
          </cell>
          <cell r="C10" t="str">
            <v>Mount Zion Community Development, Inc.</v>
          </cell>
          <cell r="D10">
            <v>31500</v>
          </cell>
          <cell r="E10">
            <v>31500</v>
          </cell>
          <cell r="F10">
            <v>30000</v>
          </cell>
          <cell r="G10">
            <v>25000</v>
          </cell>
          <cell r="H10">
            <v>30000</v>
          </cell>
          <cell r="I10">
            <v>40000</v>
          </cell>
          <cell r="J10">
            <v>40000</v>
          </cell>
          <cell r="K10">
            <v>40500</v>
          </cell>
          <cell r="L10">
            <v>20000</v>
          </cell>
        </row>
        <row r="11">
          <cell r="B11" t="str">
            <v>Healthy Streams, Healthy Communities: Tackling Water Quality and Flooding in the Southside Community</v>
          </cell>
          <cell r="C11" t="str">
            <v>RiverLink</v>
          </cell>
          <cell r="D11">
            <v>21000</v>
          </cell>
          <cell r="E11">
            <v>21000</v>
          </cell>
          <cell r="F11">
            <v>30000</v>
          </cell>
          <cell r="G11">
            <v>20000</v>
          </cell>
          <cell r="H11">
            <v>14500</v>
          </cell>
          <cell r="I11">
            <v>30000</v>
          </cell>
          <cell r="J11">
            <v>25000</v>
          </cell>
          <cell r="K11">
            <v>18000</v>
          </cell>
          <cell r="L11">
            <v>15000</v>
          </cell>
        </row>
        <row r="12">
          <cell r="B12" t="str">
            <v>YWCA Swim Equity</v>
          </cell>
          <cell r="C12" t="str">
            <v>YWCA of Asheville and Western North Carolina</v>
          </cell>
          <cell r="D12">
            <v>21000</v>
          </cell>
          <cell r="E12">
            <v>21000</v>
          </cell>
          <cell r="F12">
            <v>20000</v>
          </cell>
          <cell r="G12">
            <v>20000</v>
          </cell>
          <cell r="H12">
            <v>19500</v>
          </cell>
          <cell r="I12">
            <v>30000</v>
          </cell>
          <cell r="J12">
            <v>22500</v>
          </cell>
          <cell r="K12">
            <v>13976</v>
          </cell>
          <cell r="L12">
            <v>19967</v>
          </cell>
        </row>
        <row r="13">
          <cell r="B13" t="str">
            <v>Pathways to Opportunity</v>
          </cell>
          <cell r="C13" t="str">
            <v>Literacy Together (formerly Literacy Council of Buncombe County)</v>
          </cell>
          <cell r="D13">
            <v>31500</v>
          </cell>
          <cell r="E13">
            <v>32800</v>
          </cell>
          <cell r="F13">
            <v>35000</v>
          </cell>
          <cell r="G13">
            <v>30000</v>
          </cell>
          <cell r="H13">
            <v>24500</v>
          </cell>
          <cell r="I13">
            <v>40000</v>
          </cell>
          <cell r="J13">
            <v>36000</v>
          </cell>
          <cell r="K13">
            <v>22960</v>
          </cell>
          <cell r="L13">
            <v>30000</v>
          </cell>
        </row>
        <row r="14">
          <cell r="B14" t="str">
            <v>Project Access® Social Resources Initiative</v>
          </cell>
          <cell r="C14" t="str">
            <v>Western Carolina Medical Society Foundation</v>
          </cell>
          <cell r="D14">
            <v>22750</v>
          </cell>
          <cell r="E14">
            <v>22750</v>
          </cell>
          <cell r="F14">
            <v>25000</v>
          </cell>
          <cell r="G14">
            <v>24000</v>
          </cell>
          <cell r="H14">
            <v>20500</v>
          </cell>
          <cell r="I14">
            <v>26000</v>
          </cell>
          <cell r="J14">
            <v>27500</v>
          </cell>
          <cell r="K14">
            <v>0</v>
          </cell>
          <cell r="L14">
            <v>24375</v>
          </cell>
        </row>
        <row r="15">
          <cell r="B15" t="str">
            <v>Appalachian Grown: Strengthening Connections Across Buncombe County</v>
          </cell>
          <cell r="C15" t="str">
            <v>Appalachian Sustainable Agriculture Project</v>
          </cell>
          <cell r="D15">
            <v>21000</v>
          </cell>
          <cell r="E15">
            <v>21000</v>
          </cell>
          <cell r="F15">
            <v>20000</v>
          </cell>
          <cell r="G15">
            <v>15000</v>
          </cell>
          <cell r="H15">
            <v>14500</v>
          </cell>
          <cell r="I15">
            <v>24000</v>
          </cell>
          <cell r="J15">
            <v>22500</v>
          </cell>
          <cell r="K15">
            <v>20000</v>
          </cell>
          <cell r="L15">
            <v>20000</v>
          </cell>
        </row>
        <row r="16">
          <cell r="B16" t="str">
            <v>Project Lighten Up Summer Learning Academy</v>
          </cell>
          <cell r="C16" t="str">
            <v>Project Lighten Up</v>
          </cell>
          <cell r="D16">
            <v>35000</v>
          </cell>
          <cell r="E16">
            <v>35000</v>
          </cell>
          <cell r="F16">
            <v>35000</v>
          </cell>
          <cell r="G16">
            <v>20000</v>
          </cell>
          <cell r="H16">
            <v>23000</v>
          </cell>
          <cell r="I16">
            <v>40000</v>
          </cell>
          <cell r="J16">
            <v>30000</v>
          </cell>
          <cell r="K16">
            <v>21050</v>
          </cell>
          <cell r="L16">
            <v>21050</v>
          </cell>
        </row>
        <row r="17">
          <cell r="B17" t="str">
            <v>Diaper Assistance for Families in Crisis</v>
          </cell>
          <cell r="C17" t="str">
            <v>Babies Need Bottoms</v>
          </cell>
          <cell r="D17">
            <v>14000</v>
          </cell>
          <cell r="E17">
            <v>16887</v>
          </cell>
          <cell r="F17">
            <v>15000</v>
          </cell>
          <cell r="G17">
            <v>15000</v>
          </cell>
          <cell r="H17">
            <v>11500</v>
          </cell>
          <cell r="I17">
            <v>16000</v>
          </cell>
          <cell r="J17">
            <v>19305</v>
          </cell>
          <cell r="K17">
            <v>11820</v>
          </cell>
          <cell r="L17">
            <v>15000</v>
          </cell>
        </row>
        <row r="18">
          <cell r="B18" t="str">
            <v>Volunteer Water Information Network (VWIN) - Buncombe County</v>
          </cell>
          <cell r="C18" t="str">
            <v>The Environmental Quality Institute</v>
          </cell>
          <cell r="D18">
            <v>9000</v>
          </cell>
          <cell r="E18">
            <v>6300</v>
          </cell>
          <cell r="F18">
            <v>9000</v>
          </cell>
          <cell r="G18">
            <v>7500</v>
          </cell>
          <cell r="H18">
            <v>3500</v>
          </cell>
          <cell r="I18">
            <v>9000</v>
          </cell>
          <cell r="J18">
            <v>8000</v>
          </cell>
          <cell r="K18">
            <v>5250</v>
          </cell>
          <cell r="L18">
            <v>6750</v>
          </cell>
        </row>
        <row r="19">
          <cell r="B19" t="str">
            <v>Community-Powered K-3 Literacy | Engaging Children, Families, and Community Partners</v>
          </cell>
          <cell r="C19" t="str">
            <v>Read to Succeed</v>
          </cell>
          <cell r="D19">
            <v>26600</v>
          </cell>
          <cell r="E19">
            <v>26600</v>
          </cell>
          <cell r="F19">
            <v>30000</v>
          </cell>
          <cell r="G19">
            <v>25000</v>
          </cell>
          <cell r="H19">
            <v>26615</v>
          </cell>
          <cell r="I19">
            <v>35000</v>
          </cell>
          <cell r="J19">
            <v>35000</v>
          </cell>
          <cell r="K19">
            <v>13500</v>
          </cell>
          <cell r="L19">
            <v>25000</v>
          </cell>
        </row>
        <row r="20">
          <cell r="B20" t="str">
            <v>Stepping To Success: Closing the Unemployment Gap for Women in Buncombe County</v>
          </cell>
          <cell r="C20" t="str">
            <v>Asheville Buncombe Community Christian Ministry</v>
          </cell>
          <cell r="D20">
            <v>46200</v>
          </cell>
          <cell r="E20">
            <v>46200</v>
          </cell>
          <cell r="F20">
            <v>45000</v>
          </cell>
          <cell r="G20">
            <v>25000</v>
          </cell>
          <cell r="H20">
            <v>43500</v>
          </cell>
          <cell r="I20">
            <v>40000</v>
          </cell>
          <cell r="J20">
            <v>50000</v>
          </cell>
          <cell r="K20">
            <v>0</v>
          </cell>
          <cell r="L20">
            <v>25000</v>
          </cell>
        </row>
        <row r="21">
          <cell r="B21" t="str">
            <v>Expanding Entrepreneurship and Jobs in Communities of Color</v>
          </cell>
          <cell r="C21" t="str">
            <v>Mountain BizWorks</v>
          </cell>
          <cell r="D21">
            <v>45500</v>
          </cell>
          <cell r="E21">
            <v>45000</v>
          </cell>
          <cell r="F21">
            <v>40000</v>
          </cell>
          <cell r="G21">
            <v>50000</v>
          </cell>
          <cell r="H21">
            <v>29500</v>
          </cell>
          <cell r="I21">
            <v>40000</v>
          </cell>
          <cell r="J21">
            <v>52500</v>
          </cell>
          <cell r="K21">
            <v>35000</v>
          </cell>
          <cell r="L21">
            <v>30000</v>
          </cell>
        </row>
        <row r="22">
          <cell r="B22" t="str">
            <v>Eliada Students Training for Advancement</v>
          </cell>
          <cell r="C22" t="str">
            <v>Eliada Homes, Inc</v>
          </cell>
          <cell r="D22">
            <v>13200</v>
          </cell>
          <cell r="E22">
            <v>24000</v>
          </cell>
          <cell r="F22">
            <v>15000</v>
          </cell>
          <cell r="G22">
            <v>20000</v>
          </cell>
          <cell r="H22">
            <v>8615</v>
          </cell>
          <cell r="I22">
            <v>24000</v>
          </cell>
          <cell r="J22">
            <v>20000</v>
          </cell>
          <cell r="K22">
            <v>12000</v>
          </cell>
          <cell r="L22">
            <v>10800</v>
          </cell>
        </row>
        <row r="23">
          <cell r="B23" t="str">
            <v>Trash and Trees: A Greener Buncombe County for a Sustainable Future for All</v>
          </cell>
          <cell r="C23" t="str">
            <v>Asheville GreenWorks</v>
          </cell>
          <cell r="D23">
            <v>44000</v>
          </cell>
          <cell r="E23">
            <v>12000</v>
          </cell>
          <cell r="F23">
            <v>40000</v>
          </cell>
          <cell r="G23">
            <v>40000</v>
          </cell>
          <cell r="H23">
            <v>29500</v>
          </cell>
          <cell r="I23">
            <v>50000</v>
          </cell>
          <cell r="J23">
            <v>32000</v>
          </cell>
          <cell r="K23">
            <v>28140</v>
          </cell>
          <cell r="L23">
            <v>36000</v>
          </cell>
        </row>
        <row r="24">
          <cell r="B24" t="str">
            <v>Cultivating Resilience and Supporting the Reunification Process for Youth in Foster Care</v>
          </cell>
          <cell r="C24" t="str">
            <v>Under One Sky Village Foundation</v>
          </cell>
          <cell r="D24">
            <v>8223</v>
          </cell>
          <cell r="E24">
            <v>2243</v>
          </cell>
          <cell r="F24">
            <v>10000</v>
          </cell>
          <cell r="G24">
            <v>14950</v>
          </cell>
          <cell r="H24">
            <v>7500</v>
          </cell>
          <cell r="I24">
            <v>12500</v>
          </cell>
          <cell r="J24">
            <v>10000</v>
          </cell>
          <cell r="K24">
            <v>0</v>
          </cell>
          <cell r="L24">
            <v>6728</v>
          </cell>
        </row>
        <row r="25">
          <cell r="B25" t="str">
            <v>Western Women's Business Center (WWBC)</v>
          </cell>
          <cell r="C25" t="str">
            <v>Carolina Small Business Development Fund</v>
          </cell>
          <cell r="D25">
            <v>50000</v>
          </cell>
          <cell r="E25">
            <v>15000</v>
          </cell>
          <cell r="F25">
            <v>10000</v>
          </cell>
          <cell r="G25">
            <v>30000</v>
          </cell>
          <cell r="H25">
            <v>29500</v>
          </cell>
          <cell r="I25">
            <v>35000</v>
          </cell>
          <cell r="J25">
            <v>25000</v>
          </cell>
          <cell r="K25">
            <v>28000</v>
          </cell>
          <cell r="L25">
            <v>35000</v>
          </cell>
        </row>
        <row r="26">
          <cell r="B26" t="str">
            <v>Horizons at Carolina Day Equity-Centered Enrichment Program Expansion</v>
          </cell>
          <cell r="C26" t="str">
            <v>Horizons at Carolina Day</v>
          </cell>
          <cell r="D26">
            <v>11229</v>
          </cell>
          <cell r="E26">
            <v>3062</v>
          </cell>
          <cell r="F26">
            <v>10000</v>
          </cell>
          <cell r="G26">
            <v>15000</v>
          </cell>
          <cell r="H26">
            <v>9500</v>
          </cell>
          <cell r="I26">
            <v>17500</v>
          </cell>
          <cell r="J26">
            <v>16000</v>
          </cell>
          <cell r="K26">
            <v>0</v>
          </cell>
          <cell r="L26">
            <v>9187</v>
          </cell>
        </row>
        <row r="27">
          <cell r="B27" t="str">
            <v>Pets &amp; Their People Thriving Together</v>
          </cell>
          <cell r="C27" t="str">
            <v>Asheville Humane Society</v>
          </cell>
          <cell r="D27">
            <v>13750</v>
          </cell>
          <cell r="E27">
            <v>3750</v>
          </cell>
          <cell r="F27">
            <v>20000</v>
          </cell>
          <cell r="G27">
            <v>20000</v>
          </cell>
          <cell r="H27">
            <v>9500</v>
          </cell>
          <cell r="I27">
            <v>11000</v>
          </cell>
          <cell r="J27">
            <v>12500</v>
          </cell>
          <cell r="K27">
            <v>7500</v>
          </cell>
          <cell r="L27">
            <v>11250</v>
          </cell>
        </row>
        <row r="28">
          <cell r="B28" t="str">
            <v>STEM the COVID Slide: Close K-8 learning gaps using dynamic science education during a pandemic</v>
          </cell>
          <cell r="C28" t="str">
            <v>Asheville Museum of Science (AMOS)</v>
          </cell>
          <cell r="D28">
            <v>27500</v>
          </cell>
          <cell r="E28">
            <v>25200</v>
          </cell>
          <cell r="F28">
            <v>20000</v>
          </cell>
          <cell r="G28">
            <v>25000</v>
          </cell>
          <cell r="H28">
            <v>15000</v>
          </cell>
          <cell r="I28">
            <v>10000</v>
          </cell>
          <cell r="J28">
            <v>20000</v>
          </cell>
          <cell r="K28">
            <v>12600</v>
          </cell>
          <cell r="L28">
            <v>22500</v>
          </cell>
        </row>
        <row r="29">
          <cell r="B29" t="str">
            <v>School Garden and Outdoor Education Support</v>
          </cell>
          <cell r="C29" t="str">
            <v>Bountiful Cities</v>
          </cell>
          <cell r="D29">
            <v>8250</v>
          </cell>
          <cell r="E29">
            <v>2250</v>
          </cell>
          <cell r="F29">
            <v>15000</v>
          </cell>
          <cell r="G29">
            <v>10000</v>
          </cell>
          <cell r="H29">
            <v>5500</v>
          </cell>
          <cell r="I29">
            <v>11000</v>
          </cell>
          <cell r="J29">
            <v>12500</v>
          </cell>
          <cell r="K29">
            <v>10500</v>
          </cell>
          <cell r="L29">
            <v>6750</v>
          </cell>
        </row>
        <row r="30">
          <cell r="B30" t="str">
            <v>Wortham Center for the Performing Arts: A Community Resource</v>
          </cell>
          <cell r="C30" t="str">
            <v>Wortham Center for the Performing Arts</v>
          </cell>
          <cell r="D30">
            <v>20625</v>
          </cell>
          <cell r="E30">
            <v>5625</v>
          </cell>
          <cell r="F30">
            <v>15000</v>
          </cell>
          <cell r="G30">
            <v>18500</v>
          </cell>
          <cell r="H30">
            <v>8500</v>
          </cell>
          <cell r="I30">
            <v>25000</v>
          </cell>
          <cell r="J30">
            <v>16500</v>
          </cell>
          <cell r="K30">
            <v>9250</v>
          </cell>
          <cell r="L30">
            <v>16875</v>
          </cell>
        </row>
        <row r="31">
          <cell r="B31" t="str">
            <v>Water Supplementation and Staff/Volunteer Supplies for "The Vine" Community Garden</v>
          </cell>
          <cell r="C31" t="str">
            <v>HELP (Hands Enriching Life Positively)</v>
          </cell>
          <cell r="D31">
            <v>5000</v>
          </cell>
          <cell r="E31">
            <v>750</v>
          </cell>
          <cell r="F31">
            <v>5000</v>
          </cell>
          <cell r="G31">
            <v>2000</v>
          </cell>
          <cell r="H31">
            <v>3500</v>
          </cell>
          <cell r="I31">
            <v>5000</v>
          </cell>
          <cell r="J31">
            <v>0</v>
          </cell>
          <cell r="K31">
            <v>4000</v>
          </cell>
          <cell r="L31">
            <v>2250</v>
          </cell>
        </row>
        <row r="32">
          <cell r="B32" t="str">
            <v>MusicWorks Asheville</v>
          </cell>
          <cell r="C32" t="str">
            <v>MusicWorks Asheville</v>
          </cell>
          <cell r="D32">
            <v>11000</v>
          </cell>
          <cell r="E32">
            <v>3000</v>
          </cell>
          <cell r="F32">
            <v>10000</v>
          </cell>
          <cell r="G32">
            <v>15000</v>
          </cell>
          <cell r="H32">
            <v>8615</v>
          </cell>
          <cell r="I32">
            <v>12500</v>
          </cell>
          <cell r="J32">
            <v>15000</v>
          </cell>
          <cell r="K32">
            <v>0</v>
          </cell>
          <cell r="L32">
            <v>9000</v>
          </cell>
        </row>
        <row r="33">
          <cell r="B33" t="str">
            <v>Expanding the Kids in Parks Platform and Impact in Buncombe County</v>
          </cell>
          <cell r="C33" t="str">
            <v>Blue Ridge Parkway Foundation</v>
          </cell>
          <cell r="D33">
            <v>13750</v>
          </cell>
          <cell r="E33">
            <v>3750</v>
          </cell>
          <cell r="F33">
            <v>0</v>
          </cell>
          <cell r="G33">
            <v>20000</v>
          </cell>
          <cell r="H33">
            <v>7500</v>
          </cell>
          <cell r="I33">
            <v>0</v>
          </cell>
          <cell r="J33">
            <v>0</v>
          </cell>
          <cell r="K33">
            <v>0</v>
          </cell>
          <cell r="L33">
            <v>11250</v>
          </cell>
        </row>
        <row r="34">
          <cell r="B34" t="str">
            <v>The Face of Hope</v>
          </cell>
          <cell r="C34" t="str">
            <v>Buncombe County Schools Family Resource Center</v>
          </cell>
          <cell r="D34">
            <v>22000</v>
          </cell>
          <cell r="E34">
            <v>40000</v>
          </cell>
          <cell r="F34">
            <v>20000</v>
          </cell>
          <cell r="G34">
            <v>20000</v>
          </cell>
          <cell r="H34">
            <v>14115</v>
          </cell>
          <cell r="I34">
            <v>15000</v>
          </cell>
          <cell r="J34">
            <v>0</v>
          </cell>
          <cell r="K34">
            <v>0</v>
          </cell>
          <cell r="L34">
            <v>15000</v>
          </cell>
        </row>
        <row r="35">
          <cell r="B35" t="str">
            <v>House of Victory: Peer-Led Sober, &amp; Supportive transitional housing for Recovery/Re-Entry</v>
          </cell>
          <cell r="C35" t="str">
            <v>Jordan Peer Recovery, Inc</v>
          </cell>
          <cell r="D35">
            <v>50000</v>
          </cell>
          <cell r="E35">
            <v>16812</v>
          </cell>
          <cell r="F35">
            <v>20000</v>
          </cell>
          <cell r="G35">
            <v>20000</v>
          </cell>
          <cell r="H35">
            <v>56000</v>
          </cell>
          <cell r="I35">
            <v>10000</v>
          </cell>
          <cell r="J35">
            <v>0</v>
          </cell>
          <cell r="K35">
            <v>89664</v>
          </cell>
          <cell r="L35">
            <v>20000</v>
          </cell>
        </row>
        <row r="36">
          <cell r="B36" t="str">
            <v>Sandy Mush Community Center - Building for a Healthy, Engaged and Connected Community</v>
          </cell>
          <cell r="C36" t="str">
            <v>Sandy Mush Community Ctr.</v>
          </cell>
          <cell r="D36">
            <v>19525</v>
          </cell>
          <cell r="E36">
            <v>5325</v>
          </cell>
          <cell r="F36">
            <v>20000</v>
          </cell>
          <cell r="G36">
            <v>25000</v>
          </cell>
          <cell r="H36">
            <v>8000</v>
          </cell>
          <cell r="I36">
            <v>5000</v>
          </cell>
          <cell r="J36">
            <v>0</v>
          </cell>
          <cell r="K36">
            <v>16500</v>
          </cell>
          <cell r="L36">
            <v>17750</v>
          </cell>
        </row>
        <row r="37">
          <cell r="B37" t="str">
            <v>Growing the Go Local Movement to build a sustainable and equitable regional economy</v>
          </cell>
          <cell r="C37" t="str">
            <v>Asheville Grown Business Alliance</v>
          </cell>
          <cell r="D37">
            <v>13750</v>
          </cell>
          <cell r="E37">
            <v>3750</v>
          </cell>
          <cell r="F37">
            <v>0</v>
          </cell>
          <cell r="G37">
            <v>10000</v>
          </cell>
          <cell r="H37">
            <v>13000</v>
          </cell>
          <cell r="I37">
            <v>10000</v>
          </cell>
          <cell r="J37">
            <v>15000</v>
          </cell>
          <cell r="K37">
            <v>7500</v>
          </cell>
          <cell r="L37">
            <v>12500</v>
          </cell>
        </row>
        <row r="38">
          <cell r="B38" t="str">
            <v>Marvelous Math Club (MMC)</v>
          </cell>
          <cell r="C38" t="str">
            <v>University of North Carolina at Asheville Foundation</v>
          </cell>
          <cell r="D38">
            <v>31253</v>
          </cell>
          <cell r="E38">
            <v>14357</v>
          </cell>
          <cell r="F38">
            <v>0</v>
          </cell>
          <cell r="G38">
            <v>10000</v>
          </cell>
          <cell r="H38">
            <v>23000</v>
          </cell>
          <cell r="I38">
            <v>10000</v>
          </cell>
          <cell r="J38">
            <v>0</v>
          </cell>
          <cell r="K38">
            <v>76572</v>
          </cell>
          <cell r="L38">
            <v>25000</v>
          </cell>
        </row>
        <row r="39">
          <cell r="B39" t="str">
            <v>Community Art Initiatives: Programs, Economic Development  &amp; Recovery</v>
          </cell>
          <cell r="C39" t="str">
            <v>Asheville Area Arts Council</v>
          </cell>
          <cell r="D39">
            <v>0</v>
          </cell>
          <cell r="E39">
            <v>4500</v>
          </cell>
          <cell r="F39">
            <v>20000</v>
          </cell>
          <cell r="G39">
            <v>0</v>
          </cell>
          <cell r="H39">
            <v>4500</v>
          </cell>
          <cell r="I39">
            <v>10000</v>
          </cell>
          <cell r="J39">
            <v>20000</v>
          </cell>
          <cell r="K39">
            <v>10000</v>
          </cell>
          <cell r="L39">
            <v>13500</v>
          </cell>
        </row>
        <row r="40">
          <cell r="B40" t="str">
            <v>Friends for Social Justice</v>
          </cell>
          <cell r="C40" t="str">
            <v>The Council on Aging of Buncombe County, Inc.</v>
          </cell>
          <cell r="D40">
            <v>0</v>
          </cell>
          <cell r="E40">
            <v>5325</v>
          </cell>
          <cell r="F40">
            <v>20305</v>
          </cell>
          <cell r="G40">
            <v>14455</v>
          </cell>
          <cell r="H40">
            <v>10000</v>
          </cell>
          <cell r="I40">
            <v>5000</v>
          </cell>
          <cell r="J40">
            <v>0</v>
          </cell>
          <cell r="K40">
            <v>0</v>
          </cell>
          <cell r="L40">
            <v>17750</v>
          </cell>
        </row>
        <row r="41">
          <cell r="B41" t="str">
            <v>Supporting the Humanity of Brown and Black Youth</v>
          </cell>
          <cell r="C41" t="str">
            <v>One Youth At A Time, Inc.</v>
          </cell>
          <cell r="D41">
            <v>0</v>
          </cell>
          <cell r="E41">
            <v>3000</v>
          </cell>
          <cell r="F41">
            <v>0</v>
          </cell>
          <cell r="G41">
            <v>20000</v>
          </cell>
          <cell r="H41">
            <v>10000</v>
          </cell>
          <cell r="I41">
            <v>0</v>
          </cell>
          <cell r="J41">
            <v>0</v>
          </cell>
          <cell r="K41">
            <v>0</v>
          </cell>
          <cell r="L41">
            <v>9000</v>
          </cell>
        </row>
        <row r="42">
          <cell r="B42" t="str">
            <v>YTL Training Programs Learning, Growing and Thriving Together</v>
          </cell>
          <cell r="C42" t="str">
            <v>YTL Training Program</v>
          </cell>
          <cell r="D42">
            <v>0</v>
          </cell>
          <cell r="E42">
            <v>24750</v>
          </cell>
          <cell r="F42">
            <v>0</v>
          </cell>
          <cell r="G42">
            <v>0</v>
          </cell>
          <cell r="H42">
            <v>56000</v>
          </cell>
          <cell r="I42">
            <v>0</v>
          </cell>
          <cell r="J42">
            <v>0</v>
          </cell>
          <cell r="K42">
            <v>63939</v>
          </cell>
          <cell r="L42">
            <v>20000</v>
          </cell>
        </row>
        <row r="43">
          <cell r="B43" t="str">
            <v>Academic Enhancement Program</v>
          </cell>
          <cell r="C43" t="str">
            <v>Partners Unlimited, Inc.</v>
          </cell>
          <cell r="D43">
            <v>0</v>
          </cell>
          <cell r="E43">
            <v>3750</v>
          </cell>
          <cell r="F43">
            <v>0</v>
          </cell>
          <cell r="G43">
            <v>0</v>
          </cell>
          <cell r="H43">
            <v>14615</v>
          </cell>
          <cell r="I43">
            <v>10000</v>
          </cell>
          <cell r="J43">
            <v>0</v>
          </cell>
          <cell r="K43">
            <v>0</v>
          </cell>
          <cell r="L43">
            <v>11250</v>
          </cell>
        </row>
        <row r="44">
          <cell r="B44" t="str">
            <v>Asheville Art Museum: Building Capacity for Recovery</v>
          </cell>
          <cell r="C44" t="str">
            <v>Asheville Art Museum</v>
          </cell>
          <cell r="D44">
            <v>0</v>
          </cell>
          <cell r="E44">
            <v>7500</v>
          </cell>
          <cell r="F44">
            <v>0</v>
          </cell>
          <cell r="G44">
            <v>0</v>
          </cell>
          <cell r="H44">
            <v>8000</v>
          </cell>
          <cell r="I44">
            <v>10000</v>
          </cell>
          <cell r="J44">
            <v>30000</v>
          </cell>
          <cell r="K44">
            <v>0</v>
          </cell>
          <cell r="L44">
            <v>20000</v>
          </cell>
        </row>
        <row r="45">
          <cell r="B45" t="str">
            <v>Connected Communities</v>
          </cell>
          <cell r="C45" t="str">
            <v>SeekHealing</v>
          </cell>
          <cell r="D45">
            <v>0</v>
          </cell>
          <cell r="E45">
            <v>9000</v>
          </cell>
          <cell r="F45">
            <v>0</v>
          </cell>
          <cell r="G45">
            <v>0</v>
          </cell>
          <cell r="H45">
            <v>8000</v>
          </cell>
          <cell r="I45">
            <v>0</v>
          </cell>
          <cell r="J45">
            <v>0</v>
          </cell>
          <cell r="K45">
            <v>0</v>
          </cell>
          <cell r="L45">
            <v>20000</v>
          </cell>
        </row>
        <row r="46">
          <cell r="B46" t="str">
            <v>YMI Strategic Partnership Project</v>
          </cell>
          <cell r="C46" t="str">
            <v>YMI Cultural Center</v>
          </cell>
          <cell r="D46">
            <v>0</v>
          </cell>
          <cell r="E46">
            <v>61519</v>
          </cell>
          <cell r="F46">
            <v>0</v>
          </cell>
          <cell r="G46">
            <v>0</v>
          </cell>
          <cell r="H46">
            <v>45115</v>
          </cell>
          <cell r="I46">
            <v>0</v>
          </cell>
          <cell r="J46">
            <v>0</v>
          </cell>
          <cell r="K46">
            <v>32000</v>
          </cell>
          <cell r="L46">
            <v>20000</v>
          </cell>
        </row>
        <row r="47">
          <cell r="B47" t="str">
            <v>Engaging Environmental Education for Buncombe County Students</v>
          </cell>
          <cell r="C47" t="str">
            <v>Friend of the Nature Center</v>
          </cell>
          <cell r="D47">
            <v>0</v>
          </cell>
          <cell r="E47">
            <v>1050</v>
          </cell>
          <cell r="F47">
            <v>0</v>
          </cell>
          <cell r="G47">
            <v>5000</v>
          </cell>
          <cell r="H47">
            <v>615</v>
          </cell>
          <cell r="I47">
            <v>0</v>
          </cell>
          <cell r="J47">
            <v>0</v>
          </cell>
          <cell r="K47">
            <v>0</v>
          </cell>
          <cell r="L47">
            <v>3470</v>
          </cell>
        </row>
        <row r="48">
          <cell r="B48" t="str">
            <v>The Teaching Horse: Regulate, Relate, Reason Support for Teachers</v>
          </cell>
          <cell r="C48" t="str">
            <v>Heart of Horse Sense</v>
          </cell>
          <cell r="D48">
            <v>0</v>
          </cell>
          <cell r="E48">
            <v>3000</v>
          </cell>
          <cell r="F48">
            <v>0</v>
          </cell>
          <cell r="G48">
            <v>0</v>
          </cell>
          <cell r="H48">
            <v>1500</v>
          </cell>
          <cell r="I48">
            <v>0</v>
          </cell>
          <cell r="J48">
            <v>0</v>
          </cell>
          <cell r="K48">
            <v>12000</v>
          </cell>
          <cell r="L48">
            <v>0</v>
          </cell>
        </row>
        <row r="49">
          <cell r="B49" t="str">
            <v>100% Renewables Strategic and Implmentation Plan</v>
          </cell>
          <cell r="C49" t="str">
            <v>Green Built Alliance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Shindig on the Green</v>
          </cell>
          <cell r="C50" t="str">
            <v>Folk Heritage Committee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2000</v>
          </cell>
          <cell r="J50">
            <v>0</v>
          </cell>
          <cell r="K50">
            <v>0</v>
          </cell>
          <cell r="L50">
            <v>0</v>
          </cell>
        </row>
        <row r="51">
          <cell r="B51" t="str">
            <v>Engaging Communities for a Resilient Future</v>
          </cell>
          <cell r="C51" t="str">
            <v>WNC Communities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Skyview Open: Annual PRO/AM Golf Tournament</v>
          </cell>
          <cell r="C52" t="str">
            <v>Skyview Golf Association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Big Ivy Community Club Funding 2022</v>
          </cell>
          <cell r="C53" t="str">
            <v>Big Ivy Community Club</v>
          </cell>
          <cell r="D53">
            <v>0</v>
          </cell>
          <cell r="E53">
            <v>0</v>
          </cell>
          <cell r="F53">
            <v>0</v>
          </cell>
          <cell r="G53">
            <v>10000</v>
          </cell>
          <cell r="H53">
            <v>0</v>
          </cell>
          <cell r="I53">
            <v>5000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Leadership Legacy Training</v>
          </cell>
          <cell r="C54" t="str">
            <v>JM Leadership Consulting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500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7"/>
  <sheetViews>
    <sheetView tabSelected="1" zoomScale="110" zoomScaleNormal="110" workbookViewId="0">
      <pane xSplit="11" ySplit="5" topLeftCell="V6" activePane="bottomRight" state="frozen"/>
      <selection pane="topRight" activeCell="L1" sqref="L1"/>
      <selection pane="bottomLeft" activeCell="A6" sqref="A6"/>
      <selection pane="bottomRight" activeCell="AB6" sqref="AB6"/>
    </sheetView>
  </sheetViews>
  <sheetFormatPr defaultRowHeight="12.75" x14ac:dyDescent="0.2"/>
  <cols>
    <col min="1" max="1" width="0.85546875" customWidth="1"/>
    <col min="2" max="2" width="35.7109375" customWidth="1"/>
    <col min="3" max="3" width="28.28515625" customWidth="1"/>
    <col min="4" max="4" width="13.28515625" customWidth="1"/>
    <col min="5" max="5" width="10" bestFit="1" customWidth="1"/>
    <col min="6" max="6" width="11.5703125" bestFit="1" customWidth="1"/>
    <col min="7" max="8" width="6.7109375" customWidth="1"/>
    <col min="9" max="9" width="9.7109375" customWidth="1"/>
    <col min="10" max="10" width="6.7109375" customWidth="1"/>
    <col min="11" max="11" width="10" bestFit="1" customWidth="1"/>
    <col min="12" max="12" width="1.7109375" customWidth="1"/>
    <col min="13" max="21" width="11.5703125" bestFit="1" customWidth="1"/>
    <col min="22" max="22" width="1.7109375" customWidth="1"/>
    <col min="23" max="24" width="10" bestFit="1" customWidth="1"/>
    <col min="25" max="25" width="9.28515625" bestFit="1" customWidth="1"/>
    <col min="26" max="26" width="10" bestFit="1" customWidth="1"/>
    <col min="27" max="27" width="9.28515625" bestFit="1" customWidth="1"/>
    <col min="28" max="28" width="10" bestFit="1" customWidth="1"/>
    <col min="29" max="29" width="12.28515625" style="10" customWidth="1"/>
    <col min="30" max="30" width="9.5703125" bestFit="1" customWidth="1"/>
    <col min="32" max="33" width="9.140625" hidden="1" customWidth="1"/>
    <col min="34" max="34" width="11.7109375" customWidth="1"/>
    <col min="35" max="38" width="15.7109375" customWidth="1"/>
    <col min="39" max="39" width="17.42578125" bestFit="1" customWidth="1"/>
    <col min="40" max="40" width="12.28515625" bestFit="1" customWidth="1"/>
  </cols>
  <sheetData>
    <row r="1" spans="2:41" ht="6" customHeight="1" x14ac:dyDescent="0.2"/>
    <row r="2" spans="2:41" x14ac:dyDescent="0.2">
      <c r="J2" s="1" t="s">
        <v>0</v>
      </c>
      <c r="K2" s="2">
        <v>889305</v>
      </c>
    </row>
    <row r="3" spans="2:41" ht="15.75" thickBot="1" x14ac:dyDescent="0.3">
      <c r="D3" s="3"/>
      <c r="M3" s="62" t="s">
        <v>1</v>
      </c>
      <c r="N3" s="63"/>
      <c r="O3" s="63"/>
      <c r="P3" s="63"/>
      <c r="Q3" s="63"/>
      <c r="R3" s="63"/>
      <c r="S3" s="63"/>
      <c r="T3" s="63"/>
      <c r="U3" s="63"/>
      <c r="V3" s="4"/>
      <c r="W3" s="5"/>
      <c r="X3" s="5"/>
      <c r="Y3" s="5"/>
      <c r="Z3" s="5"/>
      <c r="AA3" s="5"/>
      <c r="AB3" s="5"/>
      <c r="AC3" s="67"/>
      <c r="AI3" s="64" t="s">
        <v>2</v>
      </c>
      <c r="AJ3" s="65"/>
      <c r="AK3" s="65"/>
      <c r="AL3" s="65"/>
      <c r="AM3" s="66"/>
    </row>
    <row r="4" spans="2:41" ht="13.5" hidden="1" thickBot="1" x14ac:dyDescent="0.25">
      <c r="B4" s="6"/>
      <c r="C4" s="7"/>
      <c r="D4" s="6"/>
      <c r="E4" s="8" t="s">
        <v>3</v>
      </c>
      <c r="F4" s="9"/>
      <c r="G4" s="6"/>
      <c r="H4" s="7"/>
      <c r="I4" s="6"/>
      <c r="J4" s="6"/>
      <c r="K4" s="6"/>
      <c r="V4" s="10"/>
    </row>
    <row r="5" spans="2:41" ht="45.75" thickBot="1" x14ac:dyDescent="0.25">
      <c r="B5" s="11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4" t="s">
        <v>13</v>
      </c>
      <c r="M5" s="15">
        <f>+VLOOKUP($B5,[1]Consolidation!$B$1:$L$54,[1]Consolidation!D$1,FALSE)</f>
        <v>1</v>
      </c>
      <c r="N5" s="15">
        <f>+VLOOKUP($B5,[1]Consolidation!$B$1:$L$54,[1]Consolidation!E$1,FALSE)</f>
        <v>2</v>
      </c>
      <c r="O5" s="15">
        <f>+VLOOKUP($B5,[1]Consolidation!$B$1:$L$54,[1]Consolidation!F$1,FALSE)</f>
        <v>3</v>
      </c>
      <c r="P5" s="15">
        <f>+VLOOKUP($B5,[1]Consolidation!$B$1:$L$54,[1]Consolidation!G$1,FALSE)</f>
        <v>4</v>
      </c>
      <c r="Q5" s="15">
        <f>+VLOOKUP($B5,[1]Consolidation!$B$1:$L$54,[1]Consolidation!H$1,FALSE)</f>
        <v>5</v>
      </c>
      <c r="R5" s="15">
        <f>+VLOOKUP($B5,[1]Consolidation!$B$1:$L$54,[1]Consolidation!I$1,FALSE)</f>
        <v>6</v>
      </c>
      <c r="S5" s="15">
        <f>+VLOOKUP($B5,[1]Consolidation!$B$1:$L$54,[1]Consolidation!J$1,FALSE)</f>
        <v>7</v>
      </c>
      <c r="T5" s="15">
        <f>+VLOOKUP($B5,[1]Consolidation!$B$1:$L$54,[1]Consolidation!K$1,FALSE)</f>
        <v>8</v>
      </c>
      <c r="U5" s="15">
        <f>+VLOOKUP($B5,[1]Consolidation!$B$1:$L$54,[1]Consolidation!L$1,FALSE)</f>
        <v>9</v>
      </c>
      <c r="V5" s="16"/>
      <c r="W5" s="17" t="s">
        <v>14</v>
      </c>
      <c r="X5" s="18" t="s">
        <v>15</v>
      </c>
      <c r="Y5" s="19" t="s">
        <v>16</v>
      </c>
      <c r="Z5" s="19" t="s">
        <v>17</v>
      </c>
      <c r="AA5" s="20" t="s">
        <v>18</v>
      </c>
      <c r="AB5" s="21" t="s">
        <v>19</v>
      </c>
      <c r="AC5" s="20" t="s">
        <v>138</v>
      </c>
      <c r="AD5" s="20" t="s">
        <v>20</v>
      </c>
      <c r="AE5" s="22"/>
      <c r="AH5" s="23"/>
      <c r="AI5" s="24" t="s">
        <v>21</v>
      </c>
      <c r="AJ5" s="25" t="s">
        <v>22</v>
      </c>
      <c r="AK5" s="25" t="s">
        <v>23</v>
      </c>
      <c r="AL5" s="25" t="s">
        <v>24</v>
      </c>
      <c r="AM5" s="26" t="s">
        <v>25</v>
      </c>
    </row>
    <row r="6" spans="2:41" ht="30" x14ac:dyDescent="0.2">
      <c r="B6" s="27" t="s">
        <v>26</v>
      </c>
      <c r="C6" s="28" t="s">
        <v>27</v>
      </c>
      <c r="D6" s="28" t="s">
        <v>21</v>
      </c>
      <c r="E6" s="29">
        <v>24467</v>
      </c>
      <c r="F6" s="29">
        <v>30000</v>
      </c>
      <c r="G6" s="30">
        <v>38</v>
      </c>
      <c r="H6" s="31">
        <v>50</v>
      </c>
      <c r="I6" s="31">
        <v>9</v>
      </c>
      <c r="J6" s="32">
        <v>408</v>
      </c>
      <c r="K6" s="61">
        <v>0.90666666666666662</v>
      </c>
      <c r="M6" s="33">
        <v>27000</v>
      </c>
      <c r="N6" s="33">
        <v>21000</v>
      </c>
      <c r="O6" s="33">
        <v>30000</v>
      </c>
      <c r="P6" s="33">
        <v>25000</v>
      </c>
      <c r="Q6" s="33">
        <v>20500</v>
      </c>
      <c r="R6" s="33">
        <v>30000</v>
      </c>
      <c r="S6" s="33">
        <v>25000</v>
      </c>
      <c r="T6" s="33">
        <v>25000</v>
      </c>
      <c r="U6" s="33">
        <v>22500</v>
      </c>
      <c r="W6" s="34">
        <f t="shared" ref="W6:W57" si="0">MEDIAN(M6:U6)</f>
        <v>25000</v>
      </c>
      <c r="X6" s="34">
        <f t="shared" ref="X6:X57" si="1">AVERAGE(M6:U6)</f>
        <v>25111.111111111109</v>
      </c>
      <c r="Y6" s="35">
        <f t="shared" ref="Y6:Y57" si="2">+COUNTIF(M6:U6,"&gt;1")</f>
        <v>9</v>
      </c>
      <c r="Z6" s="34">
        <f t="shared" ref="Z6:Z57" si="3">MAX(M6:U6)</f>
        <v>30000</v>
      </c>
      <c r="AA6" s="34">
        <f t="shared" ref="AA6:AA57" si="4">MIN(M6:U6)</f>
        <v>20500</v>
      </c>
      <c r="AB6" s="36">
        <f>+W6</f>
        <v>25000</v>
      </c>
      <c r="AC6" s="68">
        <f>+IF(E6=0,"",E6-AB6)</f>
        <v>-533</v>
      </c>
      <c r="AD6" s="37">
        <f>IF(AB6="",0,AB6/F6)</f>
        <v>0.83333333333333337</v>
      </c>
      <c r="AH6" s="38" t="s">
        <v>19</v>
      </c>
      <c r="AI6" s="39">
        <f>+SUMIF($D$6:$D$57,AI5,$AB$6:$AB$57)</f>
        <v>380110</v>
      </c>
      <c r="AJ6" s="39">
        <f t="shared" ref="AJ6:AL6" si="5">+SUMIF($D$6:$D$57,AJ5,$AB$6:$AB$57)</f>
        <v>258022</v>
      </c>
      <c r="AK6" s="39">
        <f t="shared" si="5"/>
        <v>71000</v>
      </c>
      <c r="AL6" s="39">
        <f t="shared" si="5"/>
        <v>150500</v>
      </c>
      <c r="AM6" s="39">
        <f>+SUM(AI6:AL6)</f>
        <v>859632</v>
      </c>
    </row>
    <row r="7" spans="2:41" ht="30" x14ac:dyDescent="0.2">
      <c r="B7" s="40" t="s">
        <v>28</v>
      </c>
      <c r="C7" s="41" t="s">
        <v>29</v>
      </c>
      <c r="D7" s="41" t="s">
        <v>21</v>
      </c>
      <c r="E7" s="42">
        <v>92000</v>
      </c>
      <c r="F7" s="42">
        <v>120000</v>
      </c>
      <c r="G7" s="43">
        <v>38</v>
      </c>
      <c r="H7" s="44">
        <v>50</v>
      </c>
      <c r="I7" s="44">
        <v>9</v>
      </c>
      <c r="J7" s="45">
        <v>407</v>
      </c>
      <c r="K7" s="59">
        <v>0.9044444444444445</v>
      </c>
      <c r="M7" s="33">
        <v>50000</v>
      </c>
      <c r="N7" s="33">
        <v>84000</v>
      </c>
      <c r="O7" s="33">
        <v>100000</v>
      </c>
      <c r="P7" s="33">
        <v>90000</v>
      </c>
      <c r="Q7" s="33">
        <v>75000</v>
      </c>
      <c r="R7" s="33">
        <v>50000</v>
      </c>
      <c r="S7" s="33">
        <v>95000</v>
      </c>
      <c r="T7" s="33">
        <v>87000</v>
      </c>
      <c r="U7" s="33">
        <v>96000</v>
      </c>
      <c r="W7" s="34">
        <f t="shared" si="0"/>
        <v>87000</v>
      </c>
      <c r="X7" s="34">
        <f t="shared" si="1"/>
        <v>80777.777777777781</v>
      </c>
      <c r="Y7" s="35">
        <f t="shared" si="2"/>
        <v>9</v>
      </c>
      <c r="Z7" s="34">
        <f t="shared" si="3"/>
        <v>100000</v>
      </c>
      <c r="AA7" s="34">
        <f t="shared" si="4"/>
        <v>50000</v>
      </c>
      <c r="AB7" s="36">
        <v>92000</v>
      </c>
      <c r="AC7" s="68">
        <f t="shared" ref="AC7:AC57" si="6">+IF(E7=0,"",E7-AB7)</f>
        <v>0</v>
      </c>
      <c r="AD7" s="37">
        <f t="shared" ref="AD7:AD57" si="7">IF(AB7="",0,AB7/F7)</f>
        <v>0.76666666666666672</v>
      </c>
      <c r="AH7" s="38" t="s">
        <v>30</v>
      </c>
      <c r="AI7" s="46">
        <f>IFERROR(AI6/$AM$6,0)</f>
        <v>0.44217758296573417</v>
      </c>
      <c r="AJ7" s="46">
        <f t="shared" ref="AJ7:AM7" si="8">IFERROR(AJ6/$AM$6,0)</f>
        <v>0.30015401939434549</v>
      </c>
      <c r="AK7" s="46">
        <f t="shared" si="8"/>
        <v>8.2593481862006074E-2</v>
      </c>
      <c r="AL7" s="46">
        <f t="shared" si="8"/>
        <v>0.17507491577791426</v>
      </c>
      <c r="AM7" s="46">
        <f t="shared" si="8"/>
        <v>1</v>
      </c>
    </row>
    <row r="8" spans="2:41" ht="38.25" x14ac:dyDescent="0.2">
      <c r="B8" s="40" t="s">
        <v>31</v>
      </c>
      <c r="C8" s="41" t="s">
        <v>32</v>
      </c>
      <c r="D8" s="41" t="s">
        <v>22</v>
      </c>
      <c r="E8" s="42">
        <v>12900</v>
      </c>
      <c r="F8" s="42">
        <v>18000</v>
      </c>
      <c r="G8" s="43">
        <v>39</v>
      </c>
      <c r="H8" s="44">
        <v>50</v>
      </c>
      <c r="I8" s="44">
        <v>9</v>
      </c>
      <c r="J8" s="45">
        <v>406</v>
      </c>
      <c r="K8" s="59">
        <v>0.90222222222222226</v>
      </c>
      <c r="M8" s="33">
        <v>16200</v>
      </c>
      <c r="N8" s="33">
        <v>18000</v>
      </c>
      <c r="O8" s="33">
        <v>15000</v>
      </c>
      <c r="P8" s="33">
        <v>12900</v>
      </c>
      <c r="Q8" s="33">
        <v>11000</v>
      </c>
      <c r="R8" s="33">
        <v>18000</v>
      </c>
      <c r="S8" s="33">
        <v>15000</v>
      </c>
      <c r="T8" s="33">
        <v>12900</v>
      </c>
      <c r="U8" s="33">
        <v>12900</v>
      </c>
      <c r="W8" s="34">
        <f t="shared" si="0"/>
        <v>15000</v>
      </c>
      <c r="X8" s="34">
        <f t="shared" si="1"/>
        <v>14655.555555555555</v>
      </c>
      <c r="Y8" s="35">
        <f t="shared" si="2"/>
        <v>9</v>
      </c>
      <c r="Z8" s="34">
        <f t="shared" si="3"/>
        <v>18000</v>
      </c>
      <c r="AA8" s="34">
        <f t="shared" si="4"/>
        <v>11000</v>
      </c>
      <c r="AB8" s="36">
        <f t="shared" ref="AB7:AB43" si="9">+W8</f>
        <v>15000</v>
      </c>
      <c r="AC8" s="68">
        <f t="shared" si="6"/>
        <v>-2100</v>
      </c>
      <c r="AD8" s="37">
        <f t="shared" si="7"/>
        <v>0.83333333333333337</v>
      </c>
    </row>
    <row r="9" spans="2:41" ht="38.25" x14ac:dyDescent="0.2">
      <c r="B9" s="40" t="s">
        <v>33</v>
      </c>
      <c r="C9" s="41" t="s">
        <v>34</v>
      </c>
      <c r="D9" s="41" t="s">
        <v>22</v>
      </c>
      <c r="E9" s="42">
        <v>70240</v>
      </c>
      <c r="F9" s="42">
        <v>80000</v>
      </c>
      <c r="G9" s="43">
        <v>41</v>
      </c>
      <c r="H9" s="44">
        <v>50</v>
      </c>
      <c r="I9" s="44">
        <v>9</v>
      </c>
      <c r="J9" s="45">
        <v>405</v>
      </c>
      <c r="K9" s="59">
        <v>0.9</v>
      </c>
      <c r="M9" s="33">
        <v>50000</v>
      </c>
      <c r="N9" s="33">
        <v>80000</v>
      </c>
      <c r="O9" s="33">
        <v>70000</v>
      </c>
      <c r="P9" s="33">
        <v>50000</v>
      </c>
      <c r="Q9" s="33">
        <v>54500</v>
      </c>
      <c r="R9" s="33">
        <v>50000</v>
      </c>
      <c r="S9" s="33">
        <v>72000</v>
      </c>
      <c r="T9" s="33">
        <v>70240</v>
      </c>
      <c r="U9" s="33">
        <v>42953</v>
      </c>
      <c r="W9" s="34">
        <f t="shared" si="0"/>
        <v>54500</v>
      </c>
      <c r="X9" s="34">
        <f t="shared" si="1"/>
        <v>59965.888888888891</v>
      </c>
      <c r="Y9" s="35">
        <f t="shared" si="2"/>
        <v>9</v>
      </c>
      <c r="Z9" s="34">
        <f t="shared" si="3"/>
        <v>80000</v>
      </c>
      <c r="AA9" s="34">
        <f t="shared" si="4"/>
        <v>42953</v>
      </c>
      <c r="AB9" s="36">
        <v>70240</v>
      </c>
      <c r="AC9" s="68">
        <f t="shared" si="6"/>
        <v>0</v>
      </c>
      <c r="AD9" s="37">
        <f t="shared" si="7"/>
        <v>0.878</v>
      </c>
      <c r="AF9" s="3" t="s">
        <v>35</v>
      </c>
      <c r="AH9" s="71" t="s">
        <v>135</v>
      </c>
      <c r="AI9" s="58">
        <f>+SUMIF($D$6:$D$57,AI5,$F$6:$F$57)</f>
        <v>862530</v>
      </c>
      <c r="AJ9" s="58">
        <f t="shared" ref="AJ9:AL9" si="10">+SUMIF($D$6:$D$57,AJ5,$F$6:$F$57)</f>
        <v>717632</v>
      </c>
      <c r="AK9" s="58">
        <f t="shared" si="10"/>
        <v>149000</v>
      </c>
      <c r="AL9" s="58">
        <f>+SUMIF($D$6:$D$57,AL5,$F$6:$F$57)-1000000</f>
        <v>418103</v>
      </c>
      <c r="AM9" s="58">
        <f>+SUM(AI9:AL9)</f>
        <v>2147265</v>
      </c>
      <c r="AN9" s="57">
        <f>+AM9-F59</f>
        <v>-1000000</v>
      </c>
      <c r="AO9" t="s">
        <v>139</v>
      </c>
    </row>
    <row r="10" spans="2:41" ht="25.5" x14ac:dyDescent="0.2">
      <c r="B10" s="40" t="s">
        <v>36</v>
      </c>
      <c r="C10" s="41" t="s">
        <v>37</v>
      </c>
      <c r="D10" s="41" t="s">
        <v>21</v>
      </c>
      <c r="E10" s="42">
        <v>10000</v>
      </c>
      <c r="F10" s="42">
        <v>10000</v>
      </c>
      <c r="G10" s="43">
        <v>38</v>
      </c>
      <c r="H10" s="44">
        <v>49</v>
      </c>
      <c r="I10" s="44">
        <v>9</v>
      </c>
      <c r="J10" s="45">
        <v>405</v>
      </c>
      <c r="K10" s="59">
        <v>0.9</v>
      </c>
      <c r="M10" s="33">
        <v>9000</v>
      </c>
      <c r="N10" s="33">
        <v>7000</v>
      </c>
      <c r="O10" s="33">
        <v>10000</v>
      </c>
      <c r="P10" s="33">
        <v>10000</v>
      </c>
      <c r="Q10" s="33">
        <v>7000</v>
      </c>
      <c r="R10" s="33">
        <v>10000</v>
      </c>
      <c r="S10" s="33">
        <v>8000</v>
      </c>
      <c r="T10" s="33">
        <v>8500</v>
      </c>
      <c r="U10" s="33">
        <v>7500</v>
      </c>
      <c r="W10" s="34">
        <f t="shared" si="0"/>
        <v>8500</v>
      </c>
      <c r="X10" s="34">
        <f t="shared" si="1"/>
        <v>8555.5555555555547</v>
      </c>
      <c r="Y10" s="35">
        <f t="shared" si="2"/>
        <v>9</v>
      </c>
      <c r="Z10" s="34">
        <f t="shared" si="3"/>
        <v>10000</v>
      </c>
      <c r="AA10" s="34">
        <f t="shared" si="4"/>
        <v>7000</v>
      </c>
      <c r="AB10" s="36">
        <v>10000</v>
      </c>
      <c r="AC10" s="68">
        <f t="shared" si="6"/>
        <v>0</v>
      </c>
      <c r="AD10" s="37">
        <f t="shared" si="7"/>
        <v>1</v>
      </c>
      <c r="AF10" t="s">
        <v>38</v>
      </c>
      <c r="AH10" s="71" t="s">
        <v>30</v>
      </c>
      <c r="AI10" s="70">
        <f>+AI9/$AM$9</f>
        <v>0.40168772834279887</v>
      </c>
      <c r="AJ10" s="70">
        <f t="shared" ref="AJ10:AM10" si="11">+AJ9/$AM$9</f>
        <v>0.33420746857048383</v>
      </c>
      <c r="AK10" s="70">
        <f t="shared" si="11"/>
        <v>6.9390596875560304E-2</v>
      </c>
      <c r="AL10" s="70">
        <f t="shared" si="11"/>
        <v>0.19471420621115698</v>
      </c>
      <c r="AM10" s="70">
        <f t="shared" si="11"/>
        <v>1</v>
      </c>
    </row>
    <row r="11" spans="2:41" ht="25.5" x14ac:dyDescent="0.2">
      <c r="B11" s="40" t="s">
        <v>39</v>
      </c>
      <c r="C11" s="41" t="s">
        <v>40</v>
      </c>
      <c r="D11" s="41" t="s">
        <v>21</v>
      </c>
      <c r="E11" s="42">
        <v>0</v>
      </c>
      <c r="F11" s="42">
        <v>20000</v>
      </c>
      <c r="G11" s="43">
        <v>38</v>
      </c>
      <c r="H11" s="44">
        <v>48</v>
      </c>
      <c r="I11" s="44">
        <v>9</v>
      </c>
      <c r="J11" s="45">
        <v>396</v>
      </c>
      <c r="K11" s="59">
        <v>0.88</v>
      </c>
      <c r="M11" s="33">
        <v>14000</v>
      </c>
      <c r="N11" s="33">
        <v>14000</v>
      </c>
      <c r="O11" s="33">
        <v>15000</v>
      </c>
      <c r="P11" s="33">
        <v>20000</v>
      </c>
      <c r="Q11" s="33">
        <v>14500</v>
      </c>
      <c r="R11" s="33">
        <v>16000</v>
      </c>
      <c r="S11" s="33">
        <v>17500</v>
      </c>
      <c r="T11" s="33">
        <v>18000</v>
      </c>
      <c r="U11" s="33">
        <v>15000</v>
      </c>
      <c r="W11" s="34">
        <f t="shared" si="0"/>
        <v>15000</v>
      </c>
      <c r="X11" s="34">
        <f t="shared" si="1"/>
        <v>16000</v>
      </c>
      <c r="Y11" s="35">
        <f t="shared" si="2"/>
        <v>9</v>
      </c>
      <c r="Z11" s="34">
        <f t="shared" si="3"/>
        <v>20000</v>
      </c>
      <c r="AA11" s="34">
        <f t="shared" si="4"/>
        <v>14000</v>
      </c>
      <c r="AB11" s="36">
        <f t="shared" si="9"/>
        <v>15000</v>
      </c>
      <c r="AC11" s="68" t="str">
        <f t="shared" si="6"/>
        <v/>
      </c>
      <c r="AD11" s="37">
        <f t="shared" si="7"/>
        <v>0.75</v>
      </c>
      <c r="AF11" t="s">
        <v>41</v>
      </c>
      <c r="AG11">
        <v>7</v>
      </c>
      <c r="AH11" s="71" t="s">
        <v>136</v>
      </c>
      <c r="AI11" s="70">
        <f>+AI6/AI9</f>
        <v>0.44069191796227375</v>
      </c>
      <c r="AJ11" s="70">
        <f t="shared" ref="AJ11:AL11" si="12">+AJ6/AJ9</f>
        <v>0.35954639703915098</v>
      </c>
      <c r="AK11" s="70">
        <f t="shared" si="12"/>
        <v>0.47651006711409394</v>
      </c>
      <c r="AL11" s="70">
        <f t="shared" si="12"/>
        <v>0.35995914882218016</v>
      </c>
    </row>
    <row r="12" spans="2:41" ht="25.5" x14ac:dyDescent="0.2">
      <c r="B12" s="40" t="s">
        <v>42</v>
      </c>
      <c r="C12" s="41" t="s">
        <v>43</v>
      </c>
      <c r="D12" s="41" t="s">
        <v>21</v>
      </c>
      <c r="E12" s="42">
        <v>45444</v>
      </c>
      <c r="F12" s="42">
        <v>50000</v>
      </c>
      <c r="G12" s="43">
        <v>39</v>
      </c>
      <c r="H12" s="44">
        <v>49</v>
      </c>
      <c r="I12" s="44">
        <v>9</v>
      </c>
      <c r="J12" s="45">
        <v>395</v>
      </c>
      <c r="K12" s="59">
        <v>0.87777777777777777</v>
      </c>
      <c r="M12" s="33">
        <v>35000</v>
      </c>
      <c r="N12" s="33">
        <v>35000</v>
      </c>
      <c r="O12" s="33">
        <v>45000</v>
      </c>
      <c r="P12" s="33">
        <v>40000</v>
      </c>
      <c r="Q12" s="33">
        <v>30000</v>
      </c>
      <c r="R12" s="33">
        <v>40000</v>
      </c>
      <c r="S12" s="33">
        <v>44000</v>
      </c>
      <c r="T12" s="33">
        <v>45444</v>
      </c>
      <c r="U12" s="33">
        <v>37500</v>
      </c>
      <c r="W12" s="34">
        <f t="shared" si="0"/>
        <v>40000</v>
      </c>
      <c r="X12" s="34">
        <f t="shared" si="1"/>
        <v>39104.888888888891</v>
      </c>
      <c r="Y12" s="35">
        <f t="shared" si="2"/>
        <v>9</v>
      </c>
      <c r="Z12" s="34">
        <f t="shared" si="3"/>
        <v>45444</v>
      </c>
      <c r="AA12" s="34">
        <f t="shared" si="4"/>
        <v>30000</v>
      </c>
      <c r="AB12" s="36">
        <v>40000</v>
      </c>
      <c r="AC12" s="68">
        <f t="shared" si="6"/>
        <v>5444</v>
      </c>
      <c r="AD12" s="37">
        <f t="shared" si="7"/>
        <v>0.8</v>
      </c>
      <c r="AF12" t="s">
        <v>44</v>
      </c>
      <c r="AG12">
        <v>4</v>
      </c>
    </row>
    <row r="13" spans="2:41" ht="25.5" x14ac:dyDescent="0.2">
      <c r="B13" s="40" t="s">
        <v>45</v>
      </c>
      <c r="C13" s="41" t="s">
        <v>46</v>
      </c>
      <c r="D13" s="41" t="s">
        <v>21</v>
      </c>
      <c r="E13" s="42">
        <v>0</v>
      </c>
      <c r="F13" s="42">
        <v>45000</v>
      </c>
      <c r="G13" s="43">
        <v>38</v>
      </c>
      <c r="H13" s="44">
        <v>50</v>
      </c>
      <c r="I13" s="44">
        <v>9</v>
      </c>
      <c r="J13" s="45">
        <v>392</v>
      </c>
      <c r="K13" s="59">
        <v>0.87111111111111106</v>
      </c>
      <c r="M13" s="33">
        <v>31500</v>
      </c>
      <c r="N13" s="33">
        <v>31500</v>
      </c>
      <c r="O13" s="33">
        <v>30000</v>
      </c>
      <c r="P13" s="33">
        <v>25000</v>
      </c>
      <c r="Q13" s="33">
        <v>30000</v>
      </c>
      <c r="R13" s="33">
        <v>40000</v>
      </c>
      <c r="S13" s="33">
        <v>40000</v>
      </c>
      <c r="T13" s="33">
        <v>40500</v>
      </c>
      <c r="U13" s="33">
        <v>20000</v>
      </c>
      <c r="W13" s="34">
        <f t="shared" si="0"/>
        <v>31500</v>
      </c>
      <c r="X13" s="34">
        <f t="shared" si="1"/>
        <v>32055.555555555555</v>
      </c>
      <c r="Y13" s="35">
        <f t="shared" si="2"/>
        <v>9</v>
      </c>
      <c r="Z13" s="34">
        <f t="shared" si="3"/>
        <v>40500</v>
      </c>
      <c r="AA13" s="34">
        <f t="shared" si="4"/>
        <v>20000</v>
      </c>
      <c r="AB13" s="36">
        <f>+F13*0.8</f>
        <v>36000</v>
      </c>
      <c r="AC13" s="68" t="str">
        <f t="shared" si="6"/>
        <v/>
      </c>
      <c r="AD13" s="37">
        <f t="shared" si="7"/>
        <v>0.8</v>
      </c>
    </row>
    <row r="14" spans="2:41" ht="38.25" x14ac:dyDescent="0.2">
      <c r="B14" s="40" t="s">
        <v>47</v>
      </c>
      <c r="C14" s="41" t="s">
        <v>48</v>
      </c>
      <c r="D14" s="41" t="s">
        <v>23</v>
      </c>
      <c r="E14" s="42">
        <v>0</v>
      </c>
      <c r="F14" s="42">
        <v>30000</v>
      </c>
      <c r="G14" s="43">
        <v>36</v>
      </c>
      <c r="H14" s="44">
        <v>50</v>
      </c>
      <c r="I14" s="44">
        <v>9</v>
      </c>
      <c r="J14" s="45">
        <v>391</v>
      </c>
      <c r="K14" s="59">
        <v>0.86888888888888893</v>
      </c>
      <c r="M14" s="33">
        <v>21000</v>
      </c>
      <c r="N14" s="33">
        <v>21000</v>
      </c>
      <c r="O14" s="33">
        <v>30000</v>
      </c>
      <c r="P14" s="33">
        <v>20000</v>
      </c>
      <c r="Q14" s="33">
        <v>14500</v>
      </c>
      <c r="R14" s="33">
        <v>30000</v>
      </c>
      <c r="S14" s="33">
        <v>25000</v>
      </c>
      <c r="T14" s="33">
        <v>18000</v>
      </c>
      <c r="U14" s="33">
        <v>15000</v>
      </c>
      <c r="W14" s="34">
        <f t="shared" si="0"/>
        <v>21000</v>
      </c>
      <c r="X14" s="34">
        <f t="shared" si="1"/>
        <v>21611.111111111109</v>
      </c>
      <c r="Y14" s="35">
        <f t="shared" si="2"/>
        <v>9</v>
      </c>
      <c r="Z14" s="34">
        <f t="shared" si="3"/>
        <v>30000</v>
      </c>
      <c r="AA14" s="34">
        <f t="shared" si="4"/>
        <v>14500</v>
      </c>
      <c r="AB14" s="36">
        <f>+F14*0.8</f>
        <v>24000</v>
      </c>
      <c r="AC14" s="68" t="str">
        <f t="shared" si="6"/>
        <v/>
      </c>
      <c r="AD14" s="37">
        <f t="shared" si="7"/>
        <v>0.8</v>
      </c>
    </row>
    <row r="15" spans="2:41" ht="25.5" x14ac:dyDescent="0.2">
      <c r="B15" s="40" t="s">
        <v>49</v>
      </c>
      <c r="C15" s="41" t="s">
        <v>27</v>
      </c>
      <c r="D15" s="41" t="s">
        <v>21</v>
      </c>
      <c r="E15" s="42">
        <v>19967</v>
      </c>
      <c r="F15" s="42">
        <v>30000</v>
      </c>
      <c r="G15" s="43">
        <v>37</v>
      </c>
      <c r="H15" s="44">
        <v>50</v>
      </c>
      <c r="I15" s="44">
        <v>9</v>
      </c>
      <c r="J15" s="45">
        <v>391</v>
      </c>
      <c r="K15" s="59">
        <v>0.86888888888888893</v>
      </c>
      <c r="M15" s="33">
        <v>21000</v>
      </c>
      <c r="N15" s="33">
        <v>21000</v>
      </c>
      <c r="O15" s="33">
        <v>20000</v>
      </c>
      <c r="P15" s="33">
        <v>20000</v>
      </c>
      <c r="Q15" s="33">
        <v>19500</v>
      </c>
      <c r="R15" s="33">
        <v>30000</v>
      </c>
      <c r="S15" s="33">
        <v>22500</v>
      </c>
      <c r="T15" s="33">
        <v>13976</v>
      </c>
      <c r="U15" s="33">
        <v>19967</v>
      </c>
      <c r="W15" s="34">
        <f t="shared" si="0"/>
        <v>20000</v>
      </c>
      <c r="X15" s="34">
        <f t="shared" si="1"/>
        <v>20882.555555555555</v>
      </c>
      <c r="Y15" s="35">
        <f t="shared" si="2"/>
        <v>9</v>
      </c>
      <c r="Z15" s="34">
        <f t="shared" si="3"/>
        <v>30000</v>
      </c>
      <c r="AA15" s="34">
        <f t="shared" si="4"/>
        <v>13976</v>
      </c>
      <c r="AB15" s="36">
        <f t="shared" si="9"/>
        <v>20000</v>
      </c>
      <c r="AC15" s="68">
        <f t="shared" si="6"/>
        <v>-33</v>
      </c>
      <c r="AD15" s="37">
        <f t="shared" si="7"/>
        <v>0.66666666666666663</v>
      </c>
      <c r="AG15">
        <v>0.85</v>
      </c>
    </row>
    <row r="16" spans="2:41" ht="38.25" x14ac:dyDescent="0.2">
      <c r="B16" s="40" t="s">
        <v>50</v>
      </c>
      <c r="C16" s="41" t="s">
        <v>51</v>
      </c>
      <c r="D16" s="41" t="s">
        <v>22</v>
      </c>
      <c r="E16" s="42">
        <v>32800</v>
      </c>
      <c r="F16" s="42">
        <v>45000</v>
      </c>
      <c r="G16" s="43">
        <v>38</v>
      </c>
      <c r="H16" s="44">
        <v>50</v>
      </c>
      <c r="I16" s="44">
        <v>9</v>
      </c>
      <c r="J16" s="45">
        <v>388</v>
      </c>
      <c r="K16" s="59">
        <v>0.86222222222222222</v>
      </c>
      <c r="M16" s="33">
        <v>31500</v>
      </c>
      <c r="N16" s="33">
        <v>32800</v>
      </c>
      <c r="O16" s="33">
        <v>35000</v>
      </c>
      <c r="P16" s="33">
        <v>30000</v>
      </c>
      <c r="Q16" s="33">
        <v>24500</v>
      </c>
      <c r="R16" s="33">
        <v>40000</v>
      </c>
      <c r="S16" s="33">
        <v>36000</v>
      </c>
      <c r="T16" s="33">
        <v>22960</v>
      </c>
      <c r="U16" s="33">
        <v>30000</v>
      </c>
      <c r="W16" s="34">
        <f t="shared" si="0"/>
        <v>31500</v>
      </c>
      <c r="X16" s="34">
        <f t="shared" si="1"/>
        <v>31417.777777777777</v>
      </c>
      <c r="Y16" s="35">
        <f t="shared" si="2"/>
        <v>9</v>
      </c>
      <c r="Z16" s="34">
        <f t="shared" si="3"/>
        <v>40000</v>
      </c>
      <c r="AA16" s="34">
        <f t="shared" si="4"/>
        <v>22960</v>
      </c>
      <c r="AB16" s="36">
        <f t="shared" si="9"/>
        <v>31500</v>
      </c>
      <c r="AC16" s="68">
        <f t="shared" si="6"/>
        <v>1300</v>
      </c>
      <c r="AD16" s="37">
        <f t="shared" si="7"/>
        <v>0.7</v>
      </c>
      <c r="AG16">
        <v>0.75</v>
      </c>
    </row>
    <row r="17" spans="2:31" ht="25.5" x14ac:dyDescent="0.2">
      <c r="B17" s="40" t="s">
        <v>52</v>
      </c>
      <c r="C17" s="41" t="s">
        <v>53</v>
      </c>
      <c r="D17" s="41" t="s">
        <v>21</v>
      </c>
      <c r="E17" s="42">
        <v>0</v>
      </c>
      <c r="F17" s="42">
        <v>32500</v>
      </c>
      <c r="G17" s="43">
        <v>32</v>
      </c>
      <c r="H17" s="44">
        <v>50</v>
      </c>
      <c r="I17" s="44">
        <v>9</v>
      </c>
      <c r="J17" s="45">
        <v>387</v>
      </c>
      <c r="K17" s="59">
        <v>0.86</v>
      </c>
      <c r="M17" s="33">
        <v>22750</v>
      </c>
      <c r="N17" s="33">
        <v>22750</v>
      </c>
      <c r="O17" s="33">
        <v>25000</v>
      </c>
      <c r="P17" s="33">
        <v>24000</v>
      </c>
      <c r="Q17" s="33">
        <v>20500</v>
      </c>
      <c r="R17" s="33">
        <v>26000</v>
      </c>
      <c r="S17" s="33">
        <v>27500</v>
      </c>
      <c r="T17" s="33">
        <v>0</v>
      </c>
      <c r="U17" s="33">
        <v>24375</v>
      </c>
      <c r="W17" s="34">
        <f t="shared" si="0"/>
        <v>24000</v>
      </c>
      <c r="X17" s="34">
        <f t="shared" si="1"/>
        <v>21430.555555555555</v>
      </c>
      <c r="Y17" s="35">
        <f t="shared" si="2"/>
        <v>8</v>
      </c>
      <c r="Z17" s="34">
        <f t="shared" si="3"/>
        <v>27500</v>
      </c>
      <c r="AA17" s="34">
        <f t="shared" si="4"/>
        <v>0</v>
      </c>
      <c r="AB17" s="36">
        <f t="shared" si="9"/>
        <v>24000</v>
      </c>
      <c r="AC17" s="68" t="str">
        <f t="shared" si="6"/>
        <v/>
      </c>
      <c r="AD17" s="37">
        <f t="shared" si="7"/>
        <v>0.7384615384615385</v>
      </c>
    </row>
    <row r="18" spans="2:31" ht="25.5" x14ac:dyDescent="0.2">
      <c r="B18" s="40" t="s">
        <v>54</v>
      </c>
      <c r="C18" s="41" t="s">
        <v>55</v>
      </c>
      <c r="D18" s="41" t="s">
        <v>24</v>
      </c>
      <c r="E18" s="42">
        <v>20000</v>
      </c>
      <c r="F18" s="42">
        <v>30000</v>
      </c>
      <c r="G18" s="43">
        <v>39</v>
      </c>
      <c r="H18" s="44">
        <v>50</v>
      </c>
      <c r="I18" s="44">
        <v>9</v>
      </c>
      <c r="J18" s="45">
        <v>387</v>
      </c>
      <c r="K18" s="59">
        <v>0.86</v>
      </c>
      <c r="M18" s="33">
        <v>21000</v>
      </c>
      <c r="N18" s="33">
        <v>21000</v>
      </c>
      <c r="O18" s="33">
        <v>20000</v>
      </c>
      <c r="P18" s="33">
        <v>15000</v>
      </c>
      <c r="Q18" s="33">
        <v>14500</v>
      </c>
      <c r="R18" s="33">
        <v>24000</v>
      </c>
      <c r="S18" s="33">
        <v>22500</v>
      </c>
      <c r="T18" s="33">
        <v>20000</v>
      </c>
      <c r="U18" s="33">
        <v>20000</v>
      </c>
      <c r="W18" s="34">
        <f t="shared" si="0"/>
        <v>20000</v>
      </c>
      <c r="X18" s="34">
        <f t="shared" si="1"/>
        <v>19777.777777777777</v>
      </c>
      <c r="Y18" s="35">
        <f t="shared" si="2"/>
        <v>9</v>
      </c>
      <c r="Z18" s="34">
        <f t="shared" si="3"/>
        <v>24000</v>
      </c>
      <c r="AA18" s="34">
        <f t="shared" si="4"/>
        <v>14500</v>
      </c>
      <c r="AB18" s="36">
        <f t="shared" si="9"/>
        <v>20000</v>
      </c>
      <c r="AC18" s="68">
        <f t="shared" si="6"/>
        <v>0</v>
      </c>
      <c r="AD18" s="37">
        <f t="shared" si="7"/>
        <v>0.66666666666666663</v>
      </c>
    </row>
    <row r="19" spans="2:31" ht="38.25" x14ac:dyDescent="0.2">
      <c r="B19" s="40" t="s">
        <v>56</v>
      </c>
      <c r="C19" s="41" t="s">
        <v>57</v>
      </c>
      <c r="D19" s="41" t="s">
        <v>22</v>
      </c>
      <c r="E19" s="42">
        <v>21050</v>
      </c>
      <c r="F19" s="42">
        <v>50000</v>
      </c>
      <c r="G19" s="43">
        <v>33</v>
      </c>
      <c r="H19" s="44">
        <v>50</v>
      </c>
      <c r="I19" s="44">
        <v>9</v>
      </c>
      <c r="J19" s="45">
        <v>387</v>
      </c>
      <c r="K19" s="59">
        <v>0.86</v>
      </c>
      <c r="M19" s="33">
        <v>35000</v>
      </c>
      <c r="N19" s="33">
        <v>35000</v>
      </c>
      <c r="O19" s="33">
        <v>35000</v>
      </c>
      <c r="P19" s="33">
        <v>20000</v>
      </c>
      <c r="Q19" s="33">
        <v>23000</v>
      </c>
      <c r="R19" s="33">
        <v>40000</v>
      </c>
      <c r="S19" s="33">
        <v>30000</v>
      </c>
      <c r="T19" s="33">
        <v>21050</v>
      </c>
      <c r="U19" s="33">
        <v>21050</v>
      </c>
      <c r="W19" s="34">
        <f t="shared" si="0"/>
        <v>30000</v>
      </c>
      <c r="X19" s="34">
        <f t="shared" si="1"/>
        <v>28900</v>
      </c>
      <c r="Y19" s="35">
        <f t="shared" si="2"/>
        <v>9</v>
      </c>
      <c r="Z19" s="34">
        <f t="shared" si="3"/>
        <v>40000</v>
      </c>
      <c r="AA19" s="34">
        <f t="shared" si="4"/>
        <v>20000</v>
      </c>
      <c r="AB19" s="36">
        <f t="shared" si="9"/>
        <v>30000</v>
      </c>
      <c r="AC19" s="68">
        <f t="shared" si="6"/>
        <v>-8950</v>
      </c>
      <c r="AD19" s="37">
        <f t="shared" si="7"/>
        <v>0.6</v>
      </c>
    </row>
    <row r="20" spans="2:31" ht="25.5" x14ac:dyDescent="0.2">
      <c r="B20" s="40" t="s">
        <v>58</v>
      </c>
      <c r="C20" s="41" t="s">
        <v>59</v>
      </c>
      <c r="D20" s="41" t="s">
        <v>21</v>
      </c>
      <c r="E20" s="42">
        <v>16887</v>
      </c>
      <c r="F20" s="42">
        <v>20000</v>
      </c>
      <c r="G20" s="43">
        <v>35</v>
      </c>
      <c r="H20" s="44">
        <v>50</v>
      </c>
      <c r="I20" s="44">
        <v>9</v>
      </c>
      <c r="J20" s="45">
        <v>386</v>
      </c>
      <c r="K20" s="59">
        <v>0.85777777777777775</v>
      </c>
      <c r="M20" s="33">
        <v>14000</v>
      </c>
      <c r="N20" s="33">
        <v>16887</v>
      </c>
      <c r="O20" s="33">
        <v>15000</v>
      </c>
      <c r="P20" s="33">
        <v>15000</v>
      </c>
      <c r="Q20" s="33">
        <v>11500</v>
      </c>
      <c r="R20" s="33">
        <v>16000</v>
      </c>
      <c r="S20" s="33">
        <v>19305</v>
      </c>
      <c r="T20" s="33">
        <v>11820</v>
      </c>
      <c r="U20" s="33">
        <v>15000</v>
      </c>
      <c r="W20" s="34">
        <f t="shared" si="0"/>
        <v>15000</v>
      </c>
      <c r="X20" s="34">
        <f t="shared" si="1"/>
        <v>14945.777777777777</v>
      </c>
      <c r="Y20" s="35">
        <f t="shared" si="2"/>
        <v>9</v>
      </c>
      <c r="Z20" s="34">
        <f t="shared" si="3"/>
        <v>19305</v>
      </c>
      <c r="AA20" s="34">
        <f t="shared" si="4"/>
        <v>11500</v>
      </c>
      <c r="AB20" s="36">
        <v>16887</v>
      </c>
      <c r="AC20" s="68">
        <f t="shared" si="6"/>
        <v>0</v>
      </c>
      <c r="AD20" s="37">
        <f t="shared" si="7"/>
        <v>0.84435000000000004</v>
      </c>
    </row>
    <row r="21" spans="2:31" ht="25.5" x14ac:dyDescent="0.2">
      <c r="B21" s="40" t="s">
        <v>60</v>
      </c>
      <c r="C21" s="41" t="s">
        <v>61</v>
      </c>
      <c r="D21" s="41" t="s">
        <v>23</v>
      </c>
      <c r="E21" s="42">
        <v>7500</v>
      </c>
      <c r="F21" s="42">
        <v>9000</v>
      </c>
      <c r="G21" s="43">
        <v>34</v>
      </c>
      <c r="H21" s="44">
        <v>50</v>
      </c>
      <c r="I21" s="44">
        <v>9</v>
      </c>
      <c r="J21" s="45">
        <v>385</v>
      </c>
      <c r="K21" s="59">
        <v>0.85555555555555551</v>
      </c>
      <c r="M21" s="33">
        <v>9000</v>
      </c>
      <c r="N21" s="33">
        <v>6300</v>
      </c>
      <c r="O21" s="33">
        <v>9000</v>
      </c>
      <c r="P21" s="33">
        <v>7500</v>
      </c>
      <c r="Q21" s="33">
        <v>3500</v>
      </c>
      <c r="R21" s="33">
        <v>9000</v>
      </c>
      <c r="S21" s="33">
        <v>8000</v>
      </c>
      <c r="T21" s="33">
        <v>5250</v>
      </c>
      <c r="U21" s="33">
        <v>6750</v>
      </c>
      <c r="W21" s="34">
        <f t="shared" si="0"/>
        <v>7500</v>
      </c>
      <c r="X21" s="34">
        <f t="shared" si="1"/>
        <v>7144.4444444444443</v>
      </c>
      <c r="Y21" s="35">
        <f t="shared" si="2"/>
        <v>9</v>
      </c>
      <c r="Z21" s="34">
        <f t="shared" si="3"/>
        <v>9000</v>
      </c>
      <c r="AA21" s="34">
        <f t="shared" si="4"/>
        <v>3500</v>
      </c>
      <c r="AB21" s="72">
        <f t="shared" si="9"/>
        <v>7500</v>
      </c>
      <c r="AC21" s="68">
        <f t="shared" si="6"/>
        <v>0</v>
      </c>
      <c r="AD21" s="37">
        <f t="shared" si="7"/>
        <v>0.83333333333333337</v>
      </c>
      <c r="AE21" s="3" t="s">
        <v>137</v>
      </c>
    </row>
    <row r="22" spans="2:31" ht="38.25" x14ac:dyDescent="0.2">
      <c r="B22" s="40" t="s">
        <v>62</v>
      </c>
      <c r="C22" s="41" t="s">
        <v>63</v>
      </c>
      <c r="D22" s="41" t="s">
        <v>22</v>
      </c>
      <c r="E22" s="42">
        <v>27000</v>
      </c>
      <c r="F22" s="42">
        <v>38000</v>
      </c>
      <c r="G22" s="43">
        <v>28</v>
      </c>
      <c r="H22" s="44">
        <v>47</v>
      </c>
      <c r="I22" s="44">
        <v>9</v>
      </c>
      <c r="J22" s="45">
        <v>385</v>
      </c>
      <c r="K22" s="59">
        <v>0.85555555555555551</v>
      </c>
      <c r="M22" s="33">
        <v>26600</v>
      </c>
      <c r="N22" s="33">
        <v>26600</v>
      </c>
      <c r="O22" s="33">
        <v>30000</v>
      </c>
      <c r="P22" s="33">
        <v>25000</v>
      </c>
      <c r="Q22" s="33">
        <v>26615</v>
      </c>
      <c r="R22" s="33">
        <v>35000</v>
      </c>
      <c r="S22" s="33">
        <v>35000</v>
      </c>
      <c r="T22" s="33">
        <v>13500</v>
      </c>
      <c r="U22" s="33">
        <v>25000</v>
      </c>
      <c r="W22" s="34">
        <f t="shared" si="0"/>
        <v>26600</v>
      </c>
      <c r="X22" s="34">
        <f t="shared" si="1"/>
        <v>27035</v>
      </c>
      <c r="Y22" s="35">
        <f t="shared" si="2"/>
        <v>9</v>
      </c>
      <c r="Z22" s="34">
        <f t="shared" si="3"/>
        <v>35000</v>
      </c>
      <c r="AA22" s="34">
        <f t="shared" si="4"/>
        <v>13500</v>
      </c>
      <c r="AB22" s="36">
        <f t="shared" si="9"/>
        <v>26600</v>
      </c>
      <c r="AC22" s="68">
        <f t="shared" si="6"/>
        <v>400</v>
      </c>
      <c r="AD22" s="37">
        <f t="shared" si="7"/>
        <v>0.7</v>
      </c>
    </row>
    <row r="23" spans="2:31" ht="38.25" x14ac:dyDescent="0.2">
      <c r="B23" s="40" t="s">
        <v>64</v>
      </c>
      <c r="C23" s="41" t="s">
        <v>65</v>
      </c>
      <c r="D23" s="41" t="s">
        <v>24</v>
      </c>
      <c r="E23" s="42">
        <v>0</v>
      </c>
      <c r="F23" s="42">
        <v>66000</v>
      </c>
      <c r="G23" s="43">
        <v>29</v>
      </c>
      <c r="H23" s="44">
        <v>50</v>
      </c>
      <c r="I23" s="44">
        <v>8</v>
      </c>
      <c r="J23" s="45">
        <v>367</v>
      </c>
      <c r="K23" s="59">
        <v>0.85348837209302331</v>
      </c>
      <c r="M23" s="33">
        <v>46200</v>
      </c>
      <c r="N23" s="33">
        <v>46200</v>
      </c>
      <c r="O23" s="33">
        <v>45000</v>
      </c>
      <c r="P23" s="33">
        <v>25000</v>
      </c>
      <c r="Q23" s="33">
        <v>43500</v>
      </c>
      <c r="R23" s="33">
        <v>40000</v>
      </c>
      <c r="S23" s="33">
        <v>50000</v>
      </c>
      <c r="T23" s="33">
        <v>0</v>
      </c>
      <c r="U23" s="33">
        <v>25000</v>
      </c>
      <c r="W23" s="34">
        <f t="shared" si="0"/>
        <v>43500</v>
      </c>
      <c r="X23" s="34">
        <f t="shared" si="1"/>
        <v>35655.555555555555</v>
      </c>
      <c r="Y23" s="35">
        <f t="shared" si="2"/>
        <v>8</v>
      </c>
      <c r="Z23" s="34">
        <f t="shared" si="3"/>
        <v>50000</v>
      </c>
      <c r="AA23" s="34">
        <f t="shared" si="4"/>
        <v>0</v>
      </c>
      <c r="AB23" s="36">
        <f t="shared" si="9"/>
        <v>43500</v>
      </c>
      <c r="AC23" s="68" t="str">
        <f t="shared" si="6"/>
        <v/>
      </c>
      <c r="AD23" s="37">
        <f t="shared" si="7"/>
        <v>0.65909090909090906</v>
      </c>
    </row>
    <row r="24" spans="2:31" ht="25.5" x14ac:dyDescent="0.2">
      <c r="B24" s="40" t="s">
        <v>66</v>
      </c>
      <c r="C24" s="41" t="s">
        <v>67</v>
      </c>
      <c r="D24" s="41" t="s">
        <v>24</v>
      </c>
      <c r="E24" s="42">
        <v>50000</v>
      </c>
      <c r="F24" s="42">
        <v>65000</v>
      </c>
      <c r="G24" s="43">
        <v>36</v>
      </c>
      <c r="H24" s="44">
        <v>47</v>
      </c>
      <c r="I24" s="44">
        <v>8</v>
      </c>
      <c r="J24" s="45">
        <v>341</v>
      </c>
      <c r="K24" s="59">
        <v>0.85250000000000004</v>
      </c>
      <c r="M24" s="33">
        <v>45500</v>
      </c>
      <c r="N24" s="33">
        <v>45000</v>
      </c>
      <c r="O24" s="33">
        <v>40000</v>
      </c>
      <c r="P24" s="33">
        <v>50000</v>
      </c>
      <c r="Q24" s="33">
        <v>29500</v>
      </c>
      <c r="R24" s="33">
        <v>40000</v>
      </c>
      <c r="S24" s="33">
        <v>52500</v>
      </c>
      <c r="T24" s="33">
        <v>35000</v>
      </c>
      <c r="U24" s="33">
        <v>30000</v>
      </c>
      <c r="W24" s="34">
        <f t="shared" si="0"/>
        <v>40000</v>
      </c>
      <c r="X24" s="34">
        <f t="shared" si="1"/>
        <v>40833.333333333336</v>
      </c>
      <c r="Y24" s="35">
        <f t="shared" si="2"/>
        <v>9</v>
      </c>
      <c r="Z24" s="34">
        <f t="shared" si="3"/>
        <v>52500</v>
      </c>
      <c r="AA24" s="34">
        <f t="shared" si="4"/>
        <v>29500</v>
      </c>
      <c r="AB24" s="36">
        <f t="shared" si="9"/>
        <v>40000</v>
      </c>
      <c r="AC24" s="68">
        <f t="shared" si="6"/>
        <v>10000</v>
      </c>
      <c r="AD24" s="37">
        <f t="shared" si="7"/>
        <v>0.61538461538461542</v>
      </c>
    </row>
    <row r="25" spans="2:31" ht="38.25" x14ac:dyDescent="0.2">
      <c r="B25" s="40" t="s">
        <v>68</v>
      </c>
      <c r="C25" s="41" t="s">
        <v>69</v>
      </c>
      <c r="D25" s="41" t="s">
        <v>22</v>
      </c>
      <c r="E25" s="42">
        <v>24000</v>
      </c>
      <c r="F25" s="42">
        <v>24000</v>
      </c>
      <c r="G25" s="43">
        <v>31</v>
      </c>
      <c r="H25" s="44">
        <v>49</v>
      </c>
      <c r="I25" s="44">
        <v>9</v>
      </c>
      <c r="J25" s="45">
        <v>382</v>
      </c>
      <c r="K25" s="59">
        <v>0.84888888888888892</v>
      </c>
      <c r="M25" s="33">
        <v>13200</v>
      </c>
      <c r="N25" s="33">
        <v>24000</v>
      </c>
      <c r="O25" s="33">
        <v>15000</v>
      </c>
      <c r="P25" s="33">
        <v>20000</v>
      </c>
      <c r="Q25" s="33">
        <v>8615</v>
      </c>
      <c r="R25" s="33">
        <v>24000</v>
      </c>
      <c r="S25" s="33">
        <v>20000</v>
      </c>
      <c r="T25" s="33">
        <v>12000</v>
      </c>
      <c r="U25" s="33">
        <v>10800</v>
      </c>
      <c r="W25" s="34">
        <f t="shared" si="0"/>
        <v>15000</v>
      </c>
      <c r="X25" s="34">
        <f t="shared" si="1"/>
        <v>16401.666666666668</v>
      </c>
      <c r="Y25" s="35">
        <f t="shared" si="2"/>
        <v>9</v>
      </c>
      <c r="Z25" s="34">
        <f t="shared" si="3"/>
        <v>24000</v>
      </c>
      <c r="AA25" s="34">
        <f t="shared" si="4"/>
        <v>8615</v>
      </c>
      <c r="AB25" s="47">
        <f t="shared" si="9"/>
        <v>15000</v>
      </c>
      <c r="AC25" s="68">
        <f t="shared" si="6"/>
        <v>9000</v>
      </c>
      <c r="AD25" s="37">
        <f t="shared" si="7"/>
        <v>0.625</v>
      </c>
    </row>
    <row r="26" spans="2:31" ht="25.5" x14ac:dyDescent="0.2">
      <c r="B26" s="40" t="s">
        <v>70</v>
      </c>
      <c r="C26" s="41" t="s">
        <v>71</v>
      </c>
      <c r="D26" s="41" t="s">
        <v>23</v>
      </c>
      <c r="E26" s="42">
        <v>40200</v>
      </c>
      <c r="F26" s="42">
        <v>80000</v>
      </c>
      <c r="G26" s="43">
        <v>29</v>
      </c>
      <c r="H26" s="44">
        <v>48</v>
      </c>
      <c r="I26" s="44">
        <v>9</v>
      </c>
      <c r="J26" s="45">
        <v>382</v>
      </c>
      <c r="K26" s="59">
        <v>0.84888888888888892</v>
      </c>
      <c r="M26" s="33">
        <v>44000</v>
      </c>
      <c r="N26" s="33">
        <v>12000</v>
      </c>
      <c r="O26" s="33">
        <v>40000</v>
      </c>
      <c r="P26" s="33">
        <v>40000</v>
      </c>
      <c r="Q26" s="33">
        <v>29500</v>
      </c>
      <c r="R26" s="33">
        <v>50000</v>
      </c>
      <c r="S26" s="33">
        <v>32000</v>
      </c>
      <c r="T26" s="33">
        <v>28140</v>
      </c>
      <c r="U26" s="33">
        <v>36000</v>
      </c>
      <c r="W26" s="34">
        <f t="shared" si="0"/>
        <v>36000</v>
      </c>
      <c r="X26" s="34">
        <f t="shared" si="1"/>
        <v>34626.666666666664</v>
      </c>
      <c r="Y26" s="35">
        <f t="shared" si="2"/>
        <v>9</v>
      </c>
      <c r="Z26" s="34">
        <f t="shared" si="3"/>
        <v>50000</v>
      </c>
      <c r="AA26" s="34">
        <f t="shared" si="4"/>
        <v>12000</v>
      </c>
      <c r="AB26" s="47">
        <f t="shared" si="9"/>
        <v>36000</v>
      </c>
      <c r="AC26" s="68">
        <f t="shared" si="6"/>
        <v>4200</v>
      </c>
      <c r="AD26" s="37">
        <f t="shared" si="7"/>
        <v>0.45</v>
      </c>
    </row>
    <row r="27" spans="2:31" ht="38.25" x14ac:dyDescent="0.2">
      <c r="B27" s="40" t="s">
        <v>72</v>
      </c>
      <c r="C27" s="41" t="s">
        <v>73</v>
      </c>
      <c r="D27" s="41" t="s">
        <v>21</v>
      </c>
      <c r="E27" s="42">
        <v>0</v>
      </c>
      <c r="F27" s="42">
        <v>14950</v>
      </c>
      <c r="G27" s="43">
        <v>33</v>
      </c>
      <c r="H27" s="44">
        <v>50</v>
      </c>
      <c r="I27" s="44">
        <v>9</v>
      </c>
      <c r="J27" s="45">
        <v>380</v>
      </c>
      <c r="K27" s="59">
        <v>0.84444444444444444</v>
      </c>
      <c r="M27" s="33">
        <v>8223</v>
      </c>
      <c r="N27" s="33">
        <v>2243</v>
      </c>
      <c r="O27" s="33">
        <v>10000</v>
      </c>
      <c r="P27" s="33">
        <v>14950</v>
      </c>
      <c r="Q27" s="33">
        <v>7500</v>
      </c>
      <c r="R27" s="33">
        <v>12500</v>
      </c>
      <c r="S27" s="33">
        <v>10000</v>
      </c>
      <c r="T27" s="33">
        <v>0</v>
      </c>
      <c r="U27" s="33">
        <v>6728</v>
      </c>
      <c r="W27" s="34">
        <f t="shared" si="0"/>
        <v>8223</v>
      </c>
      <c r="X27" s="34">
        <f t="shared" si="1"/>
        <v>8016</v>
      </c>
      <c r="Y27" s="35">
        <f t="shared" si="2"/>
        <v>8</v>
      </c>
      <c r="Z27" s="34">
        <f t="shared" si="3"/>
        <v>14950</v>
      </c>
      <c r="AA27" s="34">
        <f t="shared" si="4"/>
        <v>0</v>
      </c>
      <c r="AB27" s="47">
        <f t="shared" si="9"/>
        <v>8223</v>
      </c>
      <c r="AC27" s="68" t="str">
        <f t="shared" si="6"/>
        <v/>
      </c>
      <c r="AD27" s="37">
        <f t="shared" si="7"/>
        <v>0.55003344481605354</v>
      </c>
    </row>
    <row r="28" spans="2:31" ht="25.5" x14ac:dyDescent="0.2">
      <c r="B28" s="40" t="s">
        <v>74</v>
      </c>
      <c r="C28" s="41" t="s">
        <v>75</v>
      </c>
      <c r="D28" s="41" t="s">
        <v>24</v>
      </c>
      <c r="E28" s="42">
        <v>35000</v>
      </c>
      <c r="F28" s="42">
        <v>100000</v>
      </c>
      <c r="G28" s="43">
        <v>35</v>
      </c>
      <c r="H28" s="44">
        <v>48</v>
      </c>
      <c r="I28" s="44">
        <v>9</v>
      </c>
      <c r="J28" s="45">
        <v>379</v>
      </c>
      <c r="K28" s="59">
        <v>0.84222222222222221</v>
      </c>
      <c r="M28" s="33">
        <v>50000</v>
      </c>
      <c r="N28" s="33">
        <v>15000</v>
      </c>
      <c r="O28" s="33">
        <v>10000</v>
      </c>
      <c r="P28" s="33">
        <v>30000</v>
      </c>
      <c r="Q28" s="33">
        <v>29500</v>
      </c>
      <c r="R28" s="33">
        <v>35000</v>
      </c>
      <c r="S28" s="33">
        <v>25000</v>
      </c>
      <c r="T28" s="33">
        <v>28000</v>
      </c>
      <c r="U28" s="33">
        <v>35000</v>
      </c>
      <c r="W28" s="34">
        <f t="shared" si="0"/>
        <v>29500</v>
      </c>
      <c r="X28" s="34">
        <f t="shared" si="1"/>
        <v>28611.111111111109</v>
      </c>
      <c r="Y28" s="35">
        <f t="shared" si="2"/>
        <v>9</v>
      </c>
      <c r="Z28" s="34">
        <f t="shared" si="3"/>
        <v>50000</v>
      </c>
      <c r="AA28" s="34">
        <f t="shared" si="4"/>
        <v>10000</v>
      </c>
      <c r="AB28" s="47">
        <f t="shared" si="9"/>
        <v>29500</v>
      </c>
      <c r="AC28" s="68">
        <f t="shared" si="6"/>
        <v>5500</v>
      </c>
      <c r="AD28" s="37">
        <f t="shared" si="7"/>
        <v>0.29499999999999998</v>
      </c>
    </row>
    <row r="29" spans="2:31" ht="38.25" x14ac:dyDescent="0.2">
      <c r="B29" s="40" t="s">
        <v>76</v>
      </c>
      <c r="C29" s="41" t="s">
        <v>77</v>
      </c>
      <c r="D29" s="41" t="s">
        <v>22</v>
      </c>
      <c r="E29" s="42">
        <v>0</v>
      </c>
      <c r="F29" s="42">
        <v>20416</v>
      </c>
      <c r="G29" s="43">
        <v>24</v>
      </c>
      <c r="H29" s="44">
        <v>50</v>
      </c>
      <c r="I29" s="44">
        <v>9</v>
      </c>
      <c r="J29" s="45">
        <v>379</v>
      </c>
      <c r="K29" s="59">
        <v>0.84222222222222221</v>
      </c>
      <c r="M29" s="33">
        <v>11229</v>
      </c>
      <c r="N29" s="33">
        <v>3062</v>
      </c>
      <c r="O29" s="33">
        <v>10000</v>
      </c>
      <c r="P29" s="33">
        <v>15000</v>
      </c>
      <c r="Q29" s="33">
        <v>9500</v>
      </c>
      <c r="R29" s="33">
        <v>17500</v>
      </c>
      <c r="S29" s="33">
        <v>16000</v>
      </c>
      <c r="T29" s="33">
        <v>0</v>
      </c>
      <c r="U29" s="33">
        <v>9187</v>
      </c>
      <c r="W29" s="34">
        <f t="shared" si="0"/>
        <v>10000</v>
      </c>
      <c r="X29" s="34">
        <f t="shared" si="1"/>
        <v>10164.222222222223</v>
      </c>
      <c r="Y29" s="35">
        <f t="shared" si="2"/>
        <v>8</v>
      </c>
      <c r="Z29" s="34">
        <f t="shared" si="3"/>
        <v>17500</v>
      </c>
      <c r="AA29" s="34">
        <f t="shared" si="4"/>
        <v>0</v>
      </c>
      <c r="AB29" s="47">
        <f t="shared" si="9"/>
        <v>10000</v>
      </c>
      <c r="AC29" s="68" t="str">
        <f t="shared" si="6"/>
        <v/>
      </c>
      <c r="AD29" s="37">
        <f t="shared" si="7"/>
        <v>0.4898119122257053</v>
      </c>
    </row>
    <row r="30" spans="2:31" ht="25.5" x14ac:dyDescent="0.2">
      <c r="B30" s="40" t="s">
        <v>78</v>
      </c>
      <c r="C30" s="41" t="s">
        <v>79</v>
      </c>
      <c r="D30" s="41" t="s">
        <v>21</v>
      </c>
      <c r="E30" s="42">
        <v>15000</v>
      </c>
      <c r="F30" s="42">
        <v>25000</v>
      </c>
      <c r="G30" s="43">
        <v>34</v>
      </c>
      <c r="H30" s="44">
        <v>47</v>
      </c>
      <c r="I30" s="44">
        <v>9</v>
      </c>
      <c r="J30" s="45">
        <v>376</v>
      </c>
      <c r="K30" s="59">
        <v>0.83555555555555561</v>
      </c>
      <c r="M30" s="33">
        <v>13750</v>
      </c>
      <c r="N30" s="33">
        <v>3750</v>
      </c>
      <c r="O30" s="33">
        <v>20000</v>
      </c>
      <c r="P30" s="33">
        <v>20000</v>
      </c>
      <c r="Q30" s="33">
        <v>9500</v>
      </c>
      <c r="R30" s="33">
        <v>11000</v>
      </c>
      <c r="S30" s="33">
        <v>12500</v>
      </c>
      <c r="T30" s="33">
        <v>7500</v>
      </c>
      <c r="U30" s="33">
        <v>11250</v>
      </c>
      <c r="W30" s="34">
        <f t="shared" si="0"/>
        <v>11250</v>
      </c>
      <c r="X30" s="34">
        <f t="shared" si="1"/>
        <v>12138.888888888889</v>
      </c>
      <c r="Y30" s="35">
        <f t="shared" si="2"/>
        <v>9</v>
      </c>
      <c r="Z30" s="34">
        <f t="shared" si="3"/>
        <v>20000</v>
      </c>
      <c r="AA30" s="34">
        <f t="shared" si="4"/>
        <v>3750</v>
      </c>
      <c r="AB30" s="47">
        <f t="shared" si="9"/>
        <v>11250</v>
      </c>
      <c r="AC30" s="68">
        <f t="shared" si="6"/>
        <v>3750</v>
      </c>
      <c r="AD30" s="37">
        <f t="shared" si="7"/>
        <v>0.45</v>
      </c>
    </row>
    <row r="31" spans="2:31" ht="38.25" x14ac:dyDescent="0.2">
      <c r="B31" s="40" t="s">
        <v>80</v>
      </c>
      <c r="C31" s="41" t="s">
        <v>81</v>
      </c>
      <c r="D31" s="41" t="s">
        <v>22</v>
      </c>
      <c r="E31" s="42">
        <v>25200</v>
      </c>
      <c r="F31" s="42">
        <v>50000</v>
      </c>
      <c r="G31" s="43">
        <v>33</v>
      </c>
      <c r="H31" s="44">
        <v>50</v>
      </c>
      <c r="I31" s="44">
        <v>9</v>
      </c>
      <c r="J31" s="45">
        <v>374</v>
      </c>
      <c r="K31" s="59">
        <v>0.83111111111111113</v>
      </c>
      <c r="M31" s="33">
        <v>27500</v>
      </c>
      <c r="N31" s="33">
        <v>25200</v>
      </c>
      <c r="O31" s="33">
        <v>20000</v>
      </c>
      <c r="P31" s="33">
        <v>25000</v>
      </c>
      <c r="Q31" s="33">
        <v>15000</v>
      </c>
      <c r="R31" s="33">
        <v>10000</v>
      </c>
      <c r="S31" s="33">
        <v>20000</v>
      </c>
      <c r="T31" s="33">
        <v>12600</v>
      </c>
      <c r="U31" s="33">
        <v>22500</v>
      </c>
      <c r="W31" s="34">
        <f t="shared" si="0"/>
        <v>20000</v>
      </c>
      <c r="X31" s="34">
        <f t="shared" si="1"/>
        <v>19755.555555555555</v>
      </c>
      <c r="Y31" s="35">
        <f t="shared" si="2"/>
        <v>9</v>
      </c>
      <c r="Z31" s="34">
        <f t="shared" si="3"/>
        <v>27500</v>
      </c>
      <c r="AA31" s="34">
        <f t="shared" si="4"/>
        <v>10000</v>
      </c>
      <c r="AB31" s="47">
        <f t="shared" si="9"/>
        <v>20000</v>
      </c>
      <c r="AC31" s="68">
        <f t="shared" si="6"/>
        <v>5200</v>
      </c>
      <c r="AD31" s="37">
        <f t="shared" si="7"/>
        <v>0.4</v>
      </c>
    </row>
    <row r="32" spans="2:31" ht="38.25" x14ac:dyDescent="0.2">
      <c r="B32" s="40" t="s">
        <v>82</v>
      </c>
      <c r="C32" s="41" t="s">
        <v>83</v>
      </c>
      <c r="D32" s="41" t="s">
        <v>22</v>
      </c>
      <c r="E32" s="42">
        <v>15000</v>
      </c>
      <c r="F32" s="42">
        <v>15000</v>
      </c>
      <c r="G32" s="43">
        <v>37</v>
      </c>
      <c r="H32" s="44">
        <v>48</v>
      </c>
      <c r="I32" s="44">
        <v>9</v>
      </c>
      <c r="J32" s="45">
        <v>374</v>
      </c>
      <c r="K32" s="59">
        <v>0.83111111111111113</v>
      </c>
      <c r="M32" s="33">
        <v>8250</v>
      </c>
      <c r="N32" s="33">
        <v>2250</v>
      </c>
      <c r="O32" s="33">
        <v>15000</v>
      </c>
      <c r="P32" s="33">
        <v>10000</v>
      </c>
      <c r="Q32" s="33">
        <v>5500</v>
      </c>
      <c r="R32" s="33">
        <v>11000</v>
      </c>
      <c r="S32" s="33">
        <v>12500</v>
      </c>
      <c r="T32" s="33">
        <v>10500</v>
      </c>
      <c r="U32" s="33">
        <v>6750</v>
      </c>
      <c r="W32" s="34">
        <f t="shared" si="0"/>
        <v>10000</v>
      </c>
      <c r="X32" s="34">
        <f t="shared" si="1"/>
        <v>9083.3333333333339</v>
      </c>
      <c r="Y32" s="35">
        <f t="shared" si="2"/>
        <v>9</v>
      </c>
      <c r="Z32" s="34">
        <f t="shared" si="3"/>
        <v>15000</v>
      </c>
      <c r="AA32" s="34">
        <f t="shared" si="4"/>
        <v>2250</v>
      </c>
      <c r="AB32" s="47">
        <f t="shared" si="9"/>
        <v>10000</v>
      </c>
      <c r="AC32" s="68">
        <f t="shared" si="6"/>
        <v>5000</v>
      </c>
      <c r="AD32" s="37">
        <f t="shared" si="7"/>
        <v>0.66666666666666663</v>
      </c>
    </row>
    <row r="33" spans="2:30" ht="25.5" x14ac:dyDescent="0.2">
      <c r="B33" s="40" t="s">
        <v>84</v>
      </c>
      <c r="C33" s="41" t="s">
        <v>85</v>
      </c>
      <c r="D33" s="41" t="s">
        <v>21</v>
      </c>
      <c r="E33" s="42">
        <v>18500</v>
      </c>
      <c r="F33" s="42">
        <v>37500</v>
      </c>
      <c r="G33" s="43">
        <v>30</v>
      </c>
      <c r="H33" s="44">
        <v>50</v>
      </c>
      <c r="I33" s="44">
        <v>9</v>
      </c>
      <c r="J33" s="45">
        <v>371</v>
      </c>
      <c r="K33" s="59">
        <v>0.82444444444444442</v>
      </c>
      <c r="M33" s="33">
        <v>20625</v>
      </c>
      <c r="N33" s="33">
        <v>5625</v>
      </c>
      <c r="O33" s="33">
        <v>15000</v>
      </c>
      <c r="P33" s="33">
        <v>18500</v>
      </c>
      <c r="Q33" s="33">
        <v>8500</v>
      </c>
      <c r="R33" s="33">
        <v>25000</v>
      </c>
      <c r="S33" s="33">
        <v>16500</v>
      </c>
      <c r="T33" s="33">
        <v>9250</v>
      </c>
      <c r="U33" s="33">
        <v>16875</v>
      </c>
      <c r="W33" s="34">
        <f t="shared" si="0"/>
        <v>16500</v>
      </c>
      <c r="X33" s="34">
        <f t="shared" si="1"/>
        <v>15097.222222222223</v>
      </c>
      <c r="Y33" s="35">
        <f t="shared" si="2"/>
        <v>9</v>
      </c>
      <c r="Z33" s="34">
        <f t="shared" si="3"/>
        <v>25000</v>
      </c>
      <c r="AA33" s="34">
        <f t="shared" si="4"/>
        <v>5625</v>
      </c>
      <c r="AB33" s="47">
        <f t="shared" si="9"/>
        <v>16500</v>
      </c>
      <c r="AC33" s="68">
        <f t="shared" si="6"/>
        <v>2000</v>
      </c>
      <c r="AD33" s="37">
        <f t="shared" si="7"/>
        <v>0.44</v>
      </c>
    </row>
    <row r="34" spans="2:30" ht="38.25" x14ac:dyDescent="0.2">
      <c r="B34" s="40" t="s">
        <v>86</v>
      </c>
      <c r="C34" s="41" t="s">
        <v>87</v>
      </c>
      <c r="D34" s="41" t="s">
        <v>23</v>
      </c>
      <c r="E34" s="42">
        <v>0</v>
      </c>
      <c r="F34" s="42">
        <v>5000</v>
      </c>
      <c r="G34" s="43">
        <v>27</v>
      </c>
      <c r="H34" s="44">
        <v>49</v>
      </c>
      <c r="I34" s="44">
        <v>9</v>
      </c>
      <c r="J34" s="45">
        <v>370</v>
      </c>
      <c r="K34" s="59">
        <v>0.82222222222222219</v>
      </c>
      <c r="M34" s="33">
        <v>5000</v>
      </c>
      <c r="N34" s="33">
        <v>750</v>
      </c>
      <c r="O34" s="33">
        <v>5000</v>
      </c>
      <c r="P34" s="33">
        <v>2000</v>
      </c>
      <c r="Q34" s="33">
        <v>3500</v>
      </c>
      <c r="R34" s="33">
        <v>5000</v>
      </c>
      <c r="S34" s="33">
        <v>0</v>
      </c>
      <c r="T34" s="33">
        <v>4000</v>
      </c>
      <c r="U34" s="33">
        <v>2250</v>
      </c>
      <c r="W34" s="34">
        <f t="shared" si="0"/>
        <v>3500</v>
      </c>
      <c r="X34" s="34">
        <f t="shared" si="1"/>
        <v>3055.5555555555557</v>
      </c>
      <c r="Y34" s="35">
        <f t="shared" si="2"/>
        <v>8</v>
      </c>
      <c r="Z34" s="34">
        <f t="shared" si="3"/>
        <v>5000</v>
      </c>
      <c r="AA34" s="34">
        <f t="shared" si="4"/>
        <v>0</v>
      </c>
      <c r="AB34" s="47">
        <f t="shared" si="9"/>
        <v>3500</v>
      </c>
      <c r="AC34" s="68" t="str">
        <f t="shared" si="6"/>
        <v/>
      </c>
      <c r="AD34" s="37">
        <f t="shared" si="7"/>
        <v>0.7</v>
      </c>
    </row>
    <row r="35" spans="2:30" ht="38.25" x14ac:dyDescent="0.2">
      <c r="B35" s="40" t="s">
        <v>88</v>
      </c>
      <c r="C35" s="41" t="s">
        <v>88</v>
      </c>
      <c r="D35" s="41" t="s">
        <v>22</v>
      </c>
      <c r="E35" s="42">
        <v>0</v>
      </c>
      <c r="F35" s="42">
        <v>20000</v>
      </c>
      <c r="G35" s="43">
        <v>23</v>
      </c>
      <c r="H35" s="44">
        <v>49</v>
      </c>
      <c r="I35" s="44">
        <v>9</v>
      </c>
      <c r="J35" s="45">
        <v>369</v>
      </c>
      <c r="K35" s="59">
        <v>0.82</v>
      </c>
      <c r="M35" s="33">
        <v>11000</v>
      </c>
      <c r="N35" s="33">
        <v>3000</v>
      </c>
      <c r="O35" s="33">
        <v>10000</v>
      </c>
      <c r="P35" s="33">
        <v>15000</v>
      </c>
      <c r="Q35" s="33">
        <v>8615</v>
      </c>
      <c r="R35" s="33">
        <v>12500</v>
      </c>
      <c r="S35" s="33">
        <v>15000</v>
      </c>
      <c r="T35" s="33">
        <v>0</v>
      </c>
      <c r="U35" s="33">
        <v>9000</v>
      </c>
      <c r="W35" s="34">
        <f t="shared" si="0"/>
        <v>10000</v>
      </c>
      <c r="X35" s="34">
        <f t="shared" si="1"/>
        <v>9346.1111111111113</v>
      </c>
      <c r="Y35" s="35">
        <f t="shared" si="2"/>
        <v>8</v>
      </c>
      <c r="Z35" s="34">
        <f t="shared" si="3"/>
        <v>15000</v>
      </c>
      <c r="AA35" s="34">
        <f t="shared" si="4"/>
        <v>0</v>
      </c>
      <c r="AB35" s="47">
        <f t="shared" si="9"/>
        <v>10000</v>
      </c>
      <c r="AC35" s="68" t="str">
        <f t="shared" si="6"/>
        <v/>
      </c>
      <c r="AD35" s="37">
        <f t="shared" si="7"/>
        <v>0.5</v>
      </c>
    </row>
    <row r="36" spans="2:30" ht="25.5" x14ac:dyDescent="0.2">
      <c r="B36" s="40" t="s">
        <v>89</v>
      </c>
      <c r="C36" s="41" t="s">
        <v>90</v>
      </c>
      <c r="D36" s="41" t="s">
        <v>21</v>
      </c>
      <c r="E36" s="42">
        <v>0</v>
      </c>
      <c r="F36" s="42">
        <v>25000</v>
      </c>
      <c r="G36" s="43">
        <v>26</v>
      </c>
      <c r="H36" s="44">
        <v>50</v>
      </c>
      <c r="I36" s="44">
        <v>9</v>
      </c>
      <c r="J36" s="45">
        <v>366</v>
      </c>
      <c r="K36" s="59">
        <v>0.81333333333333335</v>
      </c>
      <c r="M36" s="33">
        <v>13750</v>
      </c>
      <c r="N36" s="33">
        <v>3750</v>
      </c>
      <c r="O36" s="33">
        <v>0</v>
      </c>
      <c r="P36" s="33">
        <v>20000</v>
      </c>
      <c r="Q36" s="33">
        <v>7500</v>
      </c>
      <c r="R36" s="33">
        <v>0</v>
      </c>
      <c r="S36" s="33">
        <v>0</v>
      </c>
      <c r="T36" s="33">
        <v>0</v>
      </c>
      <c r="U36" s="33">
        <v>11250</v>
      </c>
      <c r="W36" s="34">
        <f t="shared" si="0"/>
        <v>3750</v>
      </c>
      <c r="X36" s="34">
        <f t="shared" si="1"/>
        <v>6250</v>
      </c>
      <c r="Y36" s="35">
        <f t="shared" si="2"/>
        <v>5</v>
      </c>
      <c r="Z36" s="34">
        <f t="shared" si="3"/>
        <v>20000</v>
      </c>
      <c r="AA36" s="34">
        <f t="shared" si="4"/>
        <v>0</v>
      </c>
      <c r="AB36" s="47">
        <f>+W36</f>
        <v>3750</v>
      </c>
      <c r="AC36" s="68" t="str">
        <f t="shared" si="6"/>
        <v/>
      </c>
      <c r="AD36" s="37">
        <f t="shared" si="7"/>
        <v>0.15</v>
      </c>
    </row>
    <row r="37" spans="2:30" ht="25.5" x14ac:dyDescent="0.2">
      <c r="B37" s="40" t="s">
        <v>91</v>
      </c>
      <c r="C37" s="41" t="s">
        <v>92</v>
      </c>
      <c r="D37" s="41" t="s">
        <v>21</v>
      </c>
      <c r="E37" s="42">
        <v>0</v>
      </c>
      <c r="F37" s="42">
        <v>40000</v>
      </c>
      <c r="G37" s="43">
        <v>24</v>
      </c>
      <c r="H37" s="44">
        <v>50</v>
      </c>
      <c r="I37" s="44">
        <v>9</v>
      </c>
      <c r="J37" s="45">
        <v>364</v>
      </c>
      <c r="K37" s="59">
        <v>0.80888888888888888</v>
      </c>
      <c r="M37" s="33">
        <v>22000</v>
      </c>
      <c r="N37" s="33">
        <v>40000</v>
      </c>
      <c r="O37" s="33">
        <v>20000</v>
      </c>
      <c r="P37" s="33">
        <v>20000</v>
      </c>
      <c r="Q37" s="33">
        <v>14115</v>
      </c>
      <c r="R37" s="33">
        <v>15000</v>
      </c>
      <c r="S37" s="33">
        <v>0</v>
      </c>
      <c r="T37" s="33">
        <v>0</v>
      </c>
      <c r="U37" s="33">
        <v>15000</v>
      </c>
      <c r="W37" s="34">
        <f t="shared" si="0"/>
        <v>15000</v>
      </c>
      <c r="X37" s="34">
        <f t="shared" si="1"/>
        <v>16235</v>
      </c>
      <c r="Y37" s="35">
        <f t="shared" si="2"/>
        <v>7</v>
      </c>
      <c r="Z37" s="34">
        <f t="shared" si="3"/>
        <v>40000</v>
      </c>
      <c r="AA37" s="34">
        <f t="shared" si="4"/>
        <v>0</v>
      </c>
      <c r="AB37" s="47">
        <f>+W37</f>
        <v>15000</v>
      </c>
      <c r="AC37" s="68" t="str">
        <f t="shared" si="6"/>
        <v/>
      </c>
      <c r="AD37" s="37">
        <f t="shared" si="7"/>
        <v>0.375</v>
      </c>
    </row>
    <row r="38" spans="2:30" ht="38.25" x14ac:dyDescent="0.2">
      <c r="B38" s="40" t="s">
        <v>93</v>
      </c>
      <c r="C38" s="41" t="s">
        <v>94</v>
      </c>
      <c r="D38" s="41" t="s">
        <v>21</v>
      </c>
      <c r="E38" s="42">
        <v>0</v>
      </c>
      <c r="F38" s="42">
        <v>112080</v>
      </c>
      <c r="G38" s="43">
        <v>32</v>
      </c>
      <c r="H38" s="44">
        <v>47</v>
      </c>
      <c r="I38" s="44">
        <v>9</v>
      </c>
      <c r="J38" s="45">
        <v>363</v>
      </c>
      <c r="K38" s="59">
        <v>0.80666666666666664</v>
      </c>
      <c r="M38" s="33">
        <v>50000</v>
      </c>
      <c r="N38" s="33">
        <v>16812</v>
      </c>
      <c r="O38" s="33">
        <v>20000</v>
      </c>
      <c r="P38" s="33">
        <v>20000</v>
      </c>
      <c r="Q38" s="33">
        <v>56000</v>
      </c>
      <c r="R38" s="33">
        <v>10000</v>
      </c>
      <c r="S38" s="33">
        <v>0</v>
      </c>
      <c r="T38" s="33">
        <v>89664</v>
      </c>
      <c r="U38" s="33">
        <v>20000</v>
      </c>
      <c r="W38" s="34">
        <f t="shared" si="0"/>
        <v>20000</v>
      </c>
      <c r="X38" s="34">
        <f t="shared" si="1"/>
        <v>31386.222222222223</v>
      </c>
      <c r="Y38" s="35">
        <f t="shared" si="2"/>
        <v>8</v>
      </c>
      <c r="Z38" s="34">
        <f t="shared" si="3"/>
        <v>89664</v>
      </c>
      <c r="AA38" s="34">
        <f t="shared" si="4"/>
        <v>0</v>
      </c>
      <c r="AB38" s="47">
        <f t="shared" si="9"/>
        <v>20000</v>
      </c>
      <c r="AC38" s="68" t="str">
        <f t="shared" si="6"/>
        <v/>
      </c>
      <c r="AD38" s="37">
        <f t="shared" si="7"/>
        <v>0.17844396859386152</v>
      </c>
    </row>
    <row r="39" spans="2:30" ht="38.25" x14ac:dyDescent="0.2">
      <c r="B39" s="40" t="s">
        <v>95</v>
      </c>
      <c r="C39" s="41" t="s">
        <v>96</v>
      </c>
      <c r="D39" s="41" t="s">
        <v>21</v>
      </c>
      <c r="E39" s="42">
        <v>33000</v>
      </c>
      <c r="F39" s="42">
        <v>35500</v>
      </c>
      <c r="G39" s="43">
        <v>29</v>
      </c>
      <c r="H39" s="44">
        <v>50</v>
      </c>
      <c r="I39" s="44">
        <v>9</v>
      </c>
      <c r="J39" s="45">
        <v>361</v>
      </c>
      <c r="K39" s="59">
        <v>0.80222222222222217</v>
      </c>
      <c r="M39" s="33">
        <v>19525</v>
      </c>
      <c r="N39" s="33">
        <v>5325</v>
      </c>
      <c r="O39" s="33">
        <v>20000</v>
      </c>
      <c r="P39" s="33">
        <v>25000</v>
      </c>
      <c r="Q39" s="33">
        <v>8000</v>
      </c>
      <c r="R39" s="33">
        <v>5000</v>
      </c>
      <c r="S39" s="33">
        <v>0</v>
      </c>
      <c r="T39" s="33">
        <v>16500</v>
      </c>
      <c r="U39" s="33">
        <v>17750</v>
      </c>
      <c r="W39" s="34">
        <f t="shared" si="0"/>
        <v>16500</v>
      </c>
      <c r="X39" s="34">
        <f t="shared" si="1"/>
        <v>13011.111111111111</v>
      </c>
      <c r="Y39" s="35">
        <f t="shared" si="2"/>
        <v>8</v>
      </c>
      <c r="Z39" s="34">
        <f t="shared" si="3"/>
        <v>25000</v>
      </c>
      <c r="AA39" s="34">
        <f t="shared" si="4"/>
        <v>0</v>
      </c>
      <c r="AB39" s="47">
        <f t="shared" si="9"/>
        <v>16500</v>
      </c>
      <c r="AC39" s="68">
        <f t="shared" si="6"/>
        <v>16500</v>
      </c>
      <c r="AD39" s="37">
        <f t="shared" si="7"/>
        <v>0.46478873239436619</v>
      </c>
    </row>
    <row r="40" spans="2:30" ht="38.25" x14ac:dyDescent="0.2">
      <c r="B40" s="40" t="s">
        <v>97</v>
      </c>
      <c r="C40" s="41" t="s">
        <v>98</v>
      </c>
      <c r="D40" s="41" t="s">
        <v>24</v>
      </c>
      <c r="E40" s="42">
        <v>15000</v>
      </c>
      <c r="F40" s="42">
        <v>25000</v>
      </c>
      <c r="G40" s="43">
        <v>33</v>
      </c>
      <c r="H40" s="44">
        <v>47</v>
      </c>
      <c r="I40" s="44">
        <v>9</v>
      </c>
      <c r="J40" s="45">
        <v>361</v>
      </c>
      <c r="K40" s="59">
        <v>0.80222222222222217</v>
      </c>
      <c r="M40" s="33">
        <v>13750</v>
      </c>
      <c r="N40" s="33">
        <v>3750</v>
      </c>
      <c r="O40" s="33">
        <v>0</v>
      </c>
      <c r="P40" s="33">
        <v>10000</v>
      </c>
      <c r="Q40" s="33">
        <v>13000</v>
      </c>
      <c r="R40" s="33">
        <v>10000</v>
      </c>
      <c r="S40" s="33">
        <v>15000</v>
      </c>
      <c r="T40" s="33">
        <v>7500</v>
      </c>
      <c r="U40" s="33">
        <v>12500</v>
      </c>
      <c r="W40" s="34">
        <f t="shared" si="0"/>
        <v>10000</v>
      </c>
      <c r="X40" s="34">
        <f t="shared" si="1"/>
        <v>9500</v>
      </c>
      <c r="Y40" s="35">
        <f t="shared" si="2"/>
        <v>8</v>
      </c>
      <c r="Z40" s="34">
        <f t="shared" si="3"/>
        <v>15000</v>
      </c>
      <c r="AA40" s="34">
        <f t="shared" si="4"/>
        <v>0</v>
      </c>
      <c r="AB40" s="47">
        <f t="shared" si="9"/>
        <v>10000</v>
      </c>
      <c r="AC40" s="68">
        <f t="shared" si="6"/>
        <v>5000</v>
      </c>
      <c r="AD40" s="37">
        <f t="shared" si="7"/>
        <v>0.4</v>
      </c>
    </row>
    <row r="41" spans="2:30" ht="38.25" x14ac:dyDescent="0.2">
      <c r="B41" s="40" t="s">
        <v>99</v>
      </c>
      <c r="C41" s="41" t="s">
        <v>100</v>
      </c>
      <c r="D41" s="41" t="s">
        <v>22</v>
      </c>
      <c r="E41" s="42">
        <v>0</v>
      </c>
      <c r="F41" s="42">
        <v>95716</v>
      </c>
      <c r="G41" s="43">
        <v>32</v>
      </c>
      <c r="H41" s="44">
        <v>48</v>
      </c>
      <c r="I41" s="44">
        <v>9</v>
      </c>
      <c r="J41" s="45">
        <v>361</v>
      </c>
      <c r="K41" s="59">
        <v>0.80222222222222217</v>
      </c>
      <c r="M41" s="33">
        <v>31253</v>
      </c>
      <c r="N41" s="33">
        <v>14357</v>
      </c>
      <c r="O41" s="33">
        <v>0</v>
      </c>
      <c r="P41" s="33">
        <v>10000</v>
      </c>
      <c r="Q41" s="33">
        <v>23000</v>
      </c>
      <c r="R41" s="33">
        <v>10000</v>
      </c>
      <c r="S41" s="33">
        <v>0</v>
      </c>
      <c r="T41" s="33">
        <v>76572</v>
      </c>
      <c r="U41" s="33">
        <v>25000</v>
      </c>
      <c r="W41" s="34">
        <f t="shared" si="0"/>
        <v>14357</v>
      </c>
      <c r="X41" s="34">
        <f t="shared" si="1"/>
        <v>21131.333333333332</v>
      </c>
      <c r="Y41" s="35">
        <f t="shared" si="2"/>
        <v>7</v>
      </c>
      <c r="Z41" s="34">
        <f t="shared" si="3"/>
        <v>76572</v>
      </c>
      <c r="AA41" s="34">
        <f t="shared" si="4"/>
        <v>0</v>
      </c>
      <c r="AB41" s="47">
        <f t="shared" si="9"/>
        <v>14357</v>
      </c>
      <c r="AC41" s="68" t="str">
        <f t="shared" si="6"/>
        <v/>
      </c>
      <c r="AD41" s="37">
        <f t="shared" si="7"/>
        <v>0.14999582097037067</v>
      </c>
    </row>
    <row r="42" spans="2:30" ht="25.5" x14ac:dyDescent="0.2">
      <c r="B42" s="40" t="s">
        <v>101</v>
      </c>
      <c r="C42" s="41" t="s">
        <v>102</v>
      </c>
      <c r="D42" s="41" t="s">
        <v>21</v>
      </c>
      <c r="E42" s="42">
        <v>20000</v>
      </c>
      <c r="F42" s="42">
        <v>30000</v>
      </c>
      <c r="G42" s="43">
        <v>29</v>
      </c>
      <c r="H42" s="44">
        <v>50</v>
      </c>
      <c r="I42" s="44">
        <v>9</v>
      </c>
      <c r="J42" s="45">
        <v>360</v>
      </c>
      <c r="K42" s="59">
        <v>0.8</v>
      </c>
      <c r="M42" s="33">
        <v>0</v>
      </c>
      <c r="N42" s="33">
        <v>4500</v>
      </c>
      <c r="O42" s="33">
        <v>20000</v>
      </c>
      <c r="P42" s="33">
        <v>0</v>
      </c>
      <c r="Q42" s="33">
        <v>4500</v>
      </c>
      <c r="R42" s="33">
        <v>10000</v>
      </c>
      <c r="S42" s="33">
        <v>20000</v>
      </c>
      <c r="T42" s="33">
        <v>10000</v>
      </c>
      <c r="U42" s="33">
        <v>13500</v>
      </c>
      <c r="W42" s="34">
        <f t="shared" si="0"/>
        <v>10000</v>
      </c>
      <c r="X42" s="34">
        <f t="shared" si="1"/>
        <v>9166.6666666666661</v>
      </c>
      <c r="Y42" s="35">
        <f t="shared" si="2"/>
        <v>7</v>
      </c>
      <c r="Z42" s="34">
        <f t="shared" si="3"/>
        <v>20000</v>
      </c>
      <c r="AA42" s="34">
        <f t="shared" si="4"/>
        <v>0</v>
      </c>
      <c r="AB42" s="47">
        <f t="shared" si="9"/>
        <v>10000</v>
      </c>
      <c r="AC42" s="68">
        <f t="shared" si="6"/>
        <v>10000</v>
      </c>
      <c r="AD42" s="37">
        <f t="shared" si="7"/>
        <v>0.33333333333333331</v>
      </c>
    </row>
    <row r="43" spans="2:30" ht="38.25" x14ac:dyDescent="0.2">
      <c r="B43" s="40" t="s">
        <v>103</v>
      </c>
      <c r="C43" s="41" t="s">
        <v>104</v>
      </c>
      <c r="D43" s="41" t="s">
        <v>22</v>
      </c>
      <c r="E43" s="42">
        <v>0</v>
      </c>
      <c r="F43" s="42">
        <v>35500</v>
      </c>
      <c r="G43" s="43">
        <v>24</v>
      </c>
      <c r="H43" s="44">
        <v>50</v>
      </c>
      <c r="I43" s="44">
        <v>9</v>
      </c>
      <c r="J43" s="45">
        <v>360</v>
      </c>
      <c r="K43" s="59">
        <v>0.8</v>
      </c>
      <c r="M43" s="33">
        <v>0</v>
      </c>
      <c r="N43" s="33">
        <v>5325</v>
      </c>
      <c r="O43" s="33">
        <v>20305</v>
      </c>
      <c r="P43" s="33">
        <v>14455</v>
      </c>
      <c r="Q43" s="33">
        <v>10000</v>
      </c>
      <c r="R43" s="33">
        <v>5000</v>
      </c>
      <c r="S43" s="33">
        <v>0</v>
      </c>
      <c r="T43" s="33">
        <v>0</v>
      </c>
      <c r="U43" s="33">
        <v>17750</v>
      </c>
      <c r="W43" s="34">
        <f t="shared" si="0"/>
        <v>5325</v>
      </c>
      <c r="X43" s="34">
        <f t="shared" si="1"/>
        <v>8092.7777777777774</v>
      </c>
      <c r="Y43" s="35">
        <f t="shared" si="2"/>
        <v>6</v>
      </c>
      <c r="Z43" s="34">
        <f t="shared" si="3"/>
        <v>20305</v>
      </c>
      <c r="AA43" s="34">
        <f t="shared" si="4"/>
        <v>0</v>
      </c>
      <c r="AB43" s="47">
        <f t="shared" si="9"/>
        <v>5325</v>
      </c>
      <c r="AC43" s="68" t="str">
        <f t="shared" si="6"/>
        <v/>
      </c>
      <c r="AD43" s="37">
        <f t="shared" si="7"/>
        <v>0.15</v>
      </c>
    </row>
    <row r="44" spans="2:30" ht="25.5" x14ac:dyDescent="0.2">
      <c r="B44" s="40" t="s">
        <v>105</v>
      </c>
      <c r="C44" s="41" t="s">
        <v>106</v>
      </c>
      <c r="D44" s="41" t="s">
        <v>21</v>
      </c>
      <c r="E44" s="42">
        <v>0</v>
      </c>
      <c r="F44" s="42">
        <v>20000</v>
      </c>
      <c r="G44" s="43">
        <v>32</v>
      </c>
      <c r="H44" s="44">
        <v>50</v>
      </c>
      <c r="I44" s="44">
        <v>9</v>
      </c>
      <c r="J44" s="45">
        <v>359</v>
      </c>
      <c r="K44" s="59">
        <v>0.79777777777777781</v>
      </c>
      <c r="M44" s="33">
        <v>0</v>
      </c>
      <c r="N44" s="33">
        <v>3000</v>
      </c>
      <c r="O44" s="33">
        <v>0</v>
      </c>
      <c r="P44" s="33">
        <v>20000</v>
      </c>
      <c r="Q44" s="33">
        <v>10000</v>
      </c>
      <c r="R44" s="33">
        <v>0</v>
      </c>
      <c r="S44" s="33">
        <v>0</v>
      </c>
      <c r="T44" s="33">
        <v>0</v>
      </c>
      <c r="U44" s="33">
        <v>9000</v>
      </c>
      <c r="W44" s="34">
        <f t="shared" si="0"/>
        <v>0</v>
      </c>
      <c r="X44" s="34">
        <f t="shared" si="1"/>
        <v>4666.666666666667</v>
      </c>
      <c r="Y44" s="35">
        <f t="shared" si="2"/>
        <v>4</v>
      </c>
      <c r="Z44" s="34">
        <f t="shared" si="3"/>
        <v>20000</v>
      </c>
      <c r="AA44" s="34">
        <f t="shared" si="4"/>
        <v>0</v>
      </c>
      <c r="AB44" s="47"/>
      <c r="AC44" s="68" t="str">
        <f t="shared" si="6"/>
        <v/>
      </c>
      <c r="AD44" s="37">
        <f t="shared" si="7"/>
        <v>0</v>
      </c>
    </row>
    <row r="45" spans="2:30" ht="38.25" x14ac:dyDescent="0.2">
      <c r="B45" s="40" t="s">
        <v>107</v>
      </c>
      <c r="C45" s="41" t="s">
        <v>108</v>
      </c>
      <c r="D45" s="41" t="s">
        <v>22</v>
      </c>
      <c r="E45" s="42">
        <v>0</v>
      </c>
      <c r="F45" s="42">
        <v>165000</v>
      </c>
      <c r="G45" s="43">
        <v>32</v>
      </c>
      <c r="H45" s="44">
        <v>45</v>
      </c>
      <c r="I45" s="44">
        <v>9</v>
      </c>
      <c r="J45" s="45">
        <v>344</v>
      </c>
      <c r="K45" s="59">
        <v>0.76444444444444448</v>
      </c>
      <c r="M45" s="33">
        <v>0</v>
      </c>
      <c r="N45" s="33">
        <v>24750</v>
      </c>
      <c r="O45" s="33">
        <v>0</v>
      </c>
      <c r="P45" s="33">
        <v>0</v>
      </c>
      <c r="Q45" s="33">
        <v>56000</v>
      </c>
      <c r="R45" s="33">
        <v>0</v>
      </c>
      <c r="S45" s="33">
        <v>0</v>
      </c>
      <c r="T45" s="33">
        <v>63939</v>
      </c>
      <c r="U45" s="33">
        <v>20000</v>
      </c>
      <c r="W45" s="34">
        <f t="shared" si="0"/>
        <v>0</v>
      </c>
      <c r="X45" s="34">
        <f t="shared" si="1"/>
        <v>18298.777777777777</v>
      </c>
      <c r="Y45" s="35">
        <f t="shared" si="2"/>
        <v>4</v>
      </c>
      <c r="Z45" s="34">
        <f t="shared" si="3"/>
        <v>63939</v>
      </c>
      <c r="AA45" s="34">
        <f t="shared" si="4"/>
        <v>0</v>
      </c>
      <c r="AB45" s="47"/>
      <c r="AC45" s="68" t="str">
        <f t="shared" si="6"/>
        <v/>
      </c>
      <c r="AD45" s="37">
        <f t="shared" si="7"/>
        <v>0</v>
      </c>
    </row>
    <row r="46" spans="2:30" ht="38.25" x14ac:dyDescent="0.2">
      <c r="B46" s="40" t="s">
        <v>109</v>
      </c>
      <c r="C46" s="41" t="s">
        <v>110</v>
      </c>
      <c r="D46" s="41" t="s">
        <v>22</v>
      </c>
      <c r="E46" s="42">
        <v>0</v>
      </c>
      <c r="F46" s="42">
        <v>25000</v>
      </c>
      <c r="G46" s="43">
        <v>18</v>
      </c>
      <c r="H46" s="44">
        <v>49</v>
      </c>
      <c r="I46" s="44">
        <v>8</v>
      </c>
      <c r="J46" s="45">
        <v>305</v>
      </c>
      <c r="K46" s="59">
        <v>0.76249999999999996</v>
      </c>
      <c r="M46" s="33">
        <v>0</v>
      </c>
      <c r="N46" s="33">
        <v>3750</v>
      </c>
      <c r="O46" s="33">
        <v>0</v>
      </c>
      <c r="P46" s="33">
        <v>0</v>
      </c>
      <c r="Q46" s="33">
        <v>14615</v>
      </c>
      <c r="R46" s="33">
        <v>10000</v>
      </c>
      <c r="S46" s="33">
        <v>0</v>
      </c>
      <c r="T46" s="33">
        <v>0</v>
      </c>
      <c r="U46" s="33">
        <v>11250</v>
      </c>
      <c r="W46" s="34">
        <f t="shared" si="0"/>
        <v>0</v>
      </c>
      <c r="X46" s="34">
        <f t="shared" si="1"/>
        <v>4401.666666666667</v>
      </c>
      <c r="Y46" s="35">
        <f t="shared" si="2"/>
        <v>4</v>
      </c>
      <c r="Z46" s="34">
        <f t="shared" si="3"/>
        <v>14615</v>
      </c>
      <c r="AA46" s="34">
        <f t="shared" si="4"/>
        <v>0</v>
      </c>
      <c r="AB46" s="47"/>
      <c r="AC46" s="68" t="str">
        <f t="shared" si="6"/>
        <v/>
      </c>
      <c r="AD46" s="37">
        <f t="shared" si="7"/>
        <v>0</v>
      </c>
    </row>
    <row r="47" spans="2:30" ht="25.5" x14ac:dyDescent="0.2">
      <c r="B47" s="40" t="s">
        <v>111</v>
      </c>
      <c r="C47" s="41" t="s">
        <v>112</v>
      </c>
      <c r="D47" s="41" t="s">
        <v>24</v>
      </c>
      <c r="E47" s="42">
        <v>0</v>
      </c>
      <c r="F47" s="42">
        <v>50000</v>
      </c>
      <c r="G47" s="43">
        <v>27</v>
      </c>
      <c r="H47" s="44">
        <v>49</v>
      </c>
      <c r="I47" s="44">
        <v>9</v>
      </c>
      <c r="J47" s="45">
        <v>341</v>
      </c>
      <c r="K47" s="59">
        <v>0.75777777777777777</v>
      </c>
      <c r="M47" s="33">
        <v>0</v>
      </c>
      <c r="N47" s="33">
        <v>7500</v>
      </c>
      <c r="O47" s="33">
        <v>0</v>
      </c>
      <c r="P47" s="33">
        <v>0</v>
      </c>
      <c r="Q47" s="33">
        <v>8000</v>
      </c>
      <c r="R47" s="33">
        <v>10000</v>
      </c>
      <c r="S47" s="33">
        <v>30000</v>
      </c>
      <c r="T47" s="33">
        <v>0</v>
      </c>
      <c r="U47" s="33">
        <v>20000</v>
      </c>
      <c r="W47" s="34">
        <f t="shared" si="0"/>
        <v>7500</v>
      </c>
      <c r="X47" s="34">
        <f t="shared" si="1"/>
        <v>8388.8888888888887</v>
      </c>
      <c r="Y47" s="35">
        <f t="shared" si="2"/>
        <v>5</v>
      </c>
      <c r="Z47" s="34">
        <f t="shared" si="3"/>
        <v>30000</v>
      </c>
      <c r="AA47" s="34">
        <f t="shared" si="4"/>
        <v>0</v>
      </c>
      <c r="AB47" s="47">
        <f t="shared" ref="AB47" si="13">+W47</f>
        <v>7500</v>
      </c>
      <c r="AC47" s="68" t="str">
        <f t="shared" si="6"/>
        <v/>
      </c>
      <c r="AD47" s="37">
        <f t="shared" si="7"/>
        <v>0.15</v>
      </c>
    </row>
    <row r="48" spans="2:30" ht="25.5" x14ac:dyDescent="0.2">
      <c r="B48" s="40" t="s">
        <v>113</v>
      </c>
      <c r="C48" s="41" t="s">
        <v>114</v>
      </c>
      <c r="D48" s="41" t="s">
        <v>21</v>
      </c>
      <c r="E48" s="42">
        <v>0</v>
      </c>
      <c r="F48" s="42">
        <v>60000</v>
      </c>
      <c r="G48" s="43">
        <v>28</v>
      </c>
      <c r="H48" s="44">
        <v>48</v>
      </c>
      <c r="I48" s="44">
        <v>9</v>
      </c>
      <c r="J48" s="45">
        <v>341</v>
      </c>
      <c r="K48" s="59">
        <v>0.75777777777777777</v>
      </c>
      <c r="M48" s="33">
        <v>0</v>
      </c>
      <c r="N48" s="33">
        <v>9000</v>
      </c>
      <c r="O48" s="33">
        <v>0</v>
      </c>
      <c r="P48" s="33">
        <v>0</v>
      </c>
      <c r="Q48" s="33">
        <v>8000</v>
      </c>
      <c r="R48" s="33">
        <v>0</v>
      </c>
      <c r="S48" s="33">
        <v>0</v>
      </c>
      <c r="T48" s="33">
        <v>0</v>
      </c>
      <c r="U48" s="33">
        <v>20000</v>
      </c>
      <c r="W48" s="34">
        <f t="shared" si="0"/>
        <v>0</v>
      </c>
      <c r="X48" s="34">
        <f t="shared" si="1"/>
        <v>4111.1111111111113</v>
      </c>
      <c r="Y48" s="35">
        <f t="shared" si="2"/>
        <v>3</v>
      </c>
      <c r="Z48" s="34">
        <f t="shared" si="3"/>
        <v>20000</v>
      </c>
      <c r="AA48" s="34">
        <f t="shared" si="4"/>
        <v>0</v>
      </c>
      <c r="AB48" s="47">
        <v>0</v>
      </c>
      <c r="AC48" s="68" t="str">
        <f t="shared" si="6"/>
        <v/>
      </c>
      <c r="AD48" s="37">
        <f t="shared" si="7"/>
        <v>0</v>
      </c>
    </row>
    <row r="49" spans="2:30" ht="25.5" x14ac:dyDescent="0.2">
      <c r="B49" s="40" t="s">
        <v>115</v>
      </c>
      <c r="C49" s="41" t="s">
        <v>116</v>
      </c>
      <c r="D49" s="41" t="s">
        <v>24</v>
      </c>
      <c r="E49" s="42">
        <v>0</v>
      </c>
      <c r="F49" s="42">
        <v>1082103</v>
      </c>
      <c r="G49" s="43">
        <v>24</v>
      </c>
      <c r="H49" s="44">
        <v>47</v>
      </c>
      <c r="I49" s="44">
        <v>8</v>
      </c>
      <c r="J49" s="45">
        <v>303</v>
      </c>
      <c r="K49" s="59">
        <v>0.75749999999999995</v>
      </c>
      <c r="M49" s="33">
        <v>0</v>
      </c>
      <c r="N49" s="33">
        <v>61519</v>
      </c>
      <c r="O49" s="33">
        <v>0</v>
      </c>
      <c r="P49" s="33">
        <v>0</v>
      </c>
      <c r="Q49" s="33">
        <v>45115</v>
      </c>
      <c r="R49" s="33">
        <v>0</v>
      </c>
      <c r="S49" s="33">
        <v>0</v>
      </c>
      <c r="T49" s="33">
        <v>32000</v>
      </c>
      <c r="U49" s="33">
        <v>20000</v>
      </c>
      <c r="W49" s="34">
        <f t="shared" si="0"/>
        <v>0</v>
      </c>
      <c r="X49" s="34">
        <f t="shared" si="1"/>
        <v>17626</v>
      </c>
      <c r="Y49" s="35">
        <f t="shared" si="2"/>
        <v>4</v>
      </c>
      <c r="Z49" s="34">
        <f t="shared" si="3"/>
        <v>61519</v>
      </c>
      <c r="AA49" s="34">
        <f t="shared" si="4"/>
        <v>0</v>
      </c>
      <c r="AB49" s="47"/>
      <c r="AC49" s="68" t="str">
        <f t="shared" si="6"/>
        <v/>
      </c>
      <c r="AD49" s="37">
        <f t="shared" si="7"/>
        <v>0</v>
      </c>
    </row>
    <row r="50" spans="2:30" ht="38.25" x14ac:dyDescent="0.2">
      <c r="B50" s="40" t="s">
        <v>117</v>
      </c>
      <c r="C50" s="41" t="s">
        <v>118</v>
      </c>
      <c r="D50" s="41" t="s">
        <v>22</v>
      </c>
      <c r="E50" s="42">
        <v>0</v>
      </c>
      <c r="F50" s="42">
        <v>7000</v>
      </c>
      <c r="G50" s="43">
        <v>25</v>
      </c>
      <c r="H50" s="44">
        <v>49</v>
      </c>
      <c r="I50" s="44">
        <v>9</v>
      </c>
      <c r="J50" s="45">
        <v>340</v>
      </c>
      <c r="K50" s="59">
        <v>0.75555555555555554</v>
      </c>
      <c r="M50" s="33">
        <v>0</v>
      </c>
      <c r="N50" s="33">
        <v>1050</v>
      </c>
      <c r="O50" s="33">
        <v>0</v>
      </c>
      <c r="P50" s="33">
        <v>5000</v>
      </c>
      <c r="Q50" s="33">
        <v>615</v>
      </c>
      <c r="R50" s="33">
        <v>0</v>
      </c>
      <c r="S50" s="33">
        <v>0</v>
      </c>
      <c r="T50" s="33">
        <v>0</v>
      </c>
      <c r="U50" s="33">
        <v>3470</v>
      </c>
      <c r="W50" s="34">
        <f t="shared" si="0"/>
        <v>0</v>
      </c>
      <c r="X50" s="34">
        <f t="shared" si="1"/>
        <v>1126.1111111111111</v>
      </c>
      <c r="Y50" s="35">
        <f t="shared" si="2"/>
        <v>4</v>
      </c>
      <c r="Z50" s="34">
        <f t="shared" si="3"/>
        <v>5000</v>
      </c>
      <c r="AA50" s="34">
        <f t="shared" si="4"/>
        <v>0</v>
      </c>
      <c r="AB50" s="47"/>
      <c r="AC50" s="68" t="str">
        <f t="shared" si="6"/>
        <v/>
      </c>
      <c r="AD50" s="37">
        <f t="shared" si="7"/>
        <v>0</v>
      </c>
    </row>
    <row r="51" spans="2:30" ht="38.25" x14ac:dyDescent="0.2">
      <c r="B51" s="40" t="s">
        <v>119</v>
      </c>
      <c r="C51" s="41" t="s">
        <v>120</v>
      </c>
      <c r="D51" s="41" t="s">
        <v>22</v>
      </c>
      <c r="E51" s="42">
        <v>0</v>
      </c>
      <c r="F51" s="42">
        <v>20000</v>
      </c>
      <c r="G51" s="43">
        <v>32</v>
      </c>
      <c r="H51" s="44">
        <v>49</v>
      </c>
      <c r="I51" s="44">
        <v>9</v>
      </c>
      <c r="J51" s="45">
        <v>339</v>
      </c>
      <c r="K51" s="59">
        <v>0.7533333333333333</v>
      </c>
      <c r="M51" s="33">
        <v>0</v>
      </c>
      <c r="N51" s="33">
        <v>3000</v>
      </c>
      <c r="O51" s="33">
        <v>0</v>
      </c>
      <c r="P51" s="33">
        <v>0</v>
      </c>
      <c r="Q51" s="33">
        <v>1500</v>
      </c>
      <c r="R51" s="33">
        <v>0</v>
      </c>
      <c r="S51" s="33">
        <v>0</v>
      </c>
      <c r="T51" s="33">
        <v>12000</v>
      </c>
      <c r="U51" s="33">
        <v>0</v>
      </c>
      <c r="W51" s="34">
        <f t="shared" si="0"/>
        <v>0</v>
      </c>
      <c r="X51" s="34">
        <f t="shared" si="1"/>
        <v>1833.3333333333333</v>
      </c>
      <c r="Y51" s="35">
        <f t="shared" si="2"/>
        <v>3</v>
      </c>
      <c r="Z51" s="34">
        <f t="shared" si="3"/>
        <v>12000</v>
      </c>
      <c r="AA51" s="34">
        <f t="shared" si="4"/>
        <v>0</v>
      </c>
      <c r="AB51" s="47">
        <v>0</v>
      </c>
      <c r="AC51" s="68" t="str">
        <f t="shared" si="6"/>
        <v/>
      </c>
      <c r="AD51" s="37">
        <f t="shared" si="7"/>
        <v>0</v>
      </c>
    </row>
    <row r="52" spans="2:30" ht="25.5" x14ac:dyDescent="0.2">
      <c r="B52" s="40" t="s">
        <v>121</v>
      </c>
      <c r="C52" s="41" t="s">
        <v>122</v>
      </c>
      <c r="D52" s="41" t="s">
        <v>23</v>
      </c>
      <c r="E52" s="42">
        <v>0</v>
      </c>
      <c r="F52" s="42">
        <v>25000</v>
      </c>
      <c r="G52" s="43">
        <v>19</v>
      </c>
      <c r="H52" s="44">
        <v>50</v>
      </c>
      <c r="I52" s="44">
        <v>9</v>
      </c>
      <c r="J52" s="45">
        <v>322</v>
      </c>
      <c r="K52" s="59">
        <v>0.7155555555555555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W52" s="34">
        <f t="shared" si="0"/>
        <v>0</v>
      </c>
      <c r="X52" s="34">
        <f t="shared" si="1"/>
        <v>0</v>
      </c>
      <c r="Y52" s="35">
        <f t="shared" si="2"/>
        <v>0</v>
      </c>
      <c r="Z52" s="34">
        <f t="shared" si="3"/>
        <v>0</v>
      </c>
      <c r="AA52" s="34">
        <f t="shared" si="4"/>
        <v>0</v>
      </c>
      <c r="AB52" s="47">
        <v>0</v>
      </c>
      <c r="AC52" s="68" t="str">
        <f t="shared" si="6"/>
        <v/>
      </c>
      <c r="AD52" s="37">
        <f t="shared" si="7"/>
        <v>0</v>
      </c>
    </row>
    <row r="53" spans="2:30" ht="38.25" x14ac:dyDescent="0.2">
      <c r="B53" s="40" t="s">
        <v>123</v>
      </c>
      <c r="C53" s="41" t="s">
        <v>124</v>
      </c>
      <c r="D53" s="41" t="s">
        <v>22</v>
      </c>
      <c r="E53" s="42">
        <v>2000</v>
      </c>
      <c r="F53" s="42">
        <v>4000</v>
      </c>
      <c r="G53" s="43">
        <v>15</v>
      </c>
      <c r="H53" s="44">
        <v>48</v>
      </c>
      <c r="I53" s="44">
        <v>9</v>
      </c>
      <c r="J53" s="45">
        <v>312</v>
      </c>
      <c r="K53" s="59">
        <v>0.69333333333333336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2000</v>
      </c>
      <c r="S53" s="33">
        <v>0</v>
      </c>
      <c r="T53" s="33">
        <v>0</v>
      </c>
      <c r="U53" s="33">
        <v>0</v>
      </c>
      <c r="W53" s="34">
        <f t="shared" si="0"/>
        <v>0</v>
      </c>
      <c r="X53" s="34">
        <f t="shared" si="1"/>
        <v>222.22222222222223</v>
      </c>
      <c r="Y53" s="35">
        <f t="shared" si="2"/>
        <v>1</v>
      </c>
      <c r="Z53" s="34">
        <f t="shared" si="3"/>
        <v>2000</v>
      </c>
      <c r="AA53" s="34">
        <f t="shared" si="4"/>
        <v>0</v>
      </c>
      <c r="AB53" s="47">
        <v>0</v>
      </c>
      <c r="AC53" s="68">
        <f t="shared" si="6"/>
        <v>2000</v>
      </c>
      <c r="AD53" s="37">
        <f t="shared" si="7"/>
        <v>0</v>
      </c>
    </row>
    <row r="54" spans="2:30" ht="25.5" x14ac:dyDescent="0.2">
      <c r="B54" s="40" t="s">
        <v>125</v>
      </c>
      <c r="C54" s="41" t="s">
        <v>126</v>
      </c>
      <c r="D54" s="41" t="s">
        <v>21</v>
      </c>
      <c r="E54" s="42">
        <v>17960</v>
      </c>
      <c r="F54" s="42">
        <v>20000</v>
      </c>
      <c r="G54" s="43">
        <v>29</v>
      </c>
      <c r="H54" s="44">
        <v>46</v>
      </c>
      <c r="I54" s="44">
        <v>9</v>
      </c>
      <c r="J54" s="45">
        <v>308</v>
      </c>
      <c r="K54" s="59">
        <v>0.68444444444444441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W54" s="34">
        <f t="shared" si="0"/>
        <v>0</v>
      </c>
      <c r="X54" s="34">
        <f t="shared" si="1"/>
        <v>0</v>
      </c>
      <c r="Y54" s="35">
        <f t="shared" si="2"/>
        <v>0</v>
      </c>
      <c r="Z54" s="34">
        <f t="shared" si="3"/>
        <v>0</v>
      </c>
      <c r="AA54" s="34">
        <f t="shared" si="4"/>
        <v>0</v>
      </c>
      <c r="AB54" s="47">
        <v>0</v>
      </c>
      <c r="AC54" s="68">
        <f t="shared" si="6"/>
        <v>17960</v>
      </c>
      <c r="AD54" s="37">
        <f t="shared" si="7"/>
        <v>0</v>
      </c>
    </row>
    <row r="55" spans="2:30" ht="25.5" x14ac:dyDescent="0.2">
      <c r="B55" s="40" t="s">
        <v>127</v>
      </c>
      <c r="C55" s="41" t="s">
        <v>128</v>
      </c>
      <c r="D55" s="41" t="s">
        <v>21</v>
      </c>
      <c r="E55" s="42">
        <v>0</v>
      </c>
      <c r="F55" s="42">
        <v>10000</v>
      </c>
      <c r="G55" s="43">
        <v>23</v>
      </c>
      <c r="H55" s="44">
        <v>43</v>
      </c>
      <c r="I55" s="44">
        <v>9</v>
      </c>
      <c r="J55" s="45">
        <v>305</v>
      </c>
      <c r="K55" s="59">
        <v>0.67777777777777781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W55" s="34">
        <f t="shared" si="0"/>
        <v>0</v>
      </c>
      <c r="X55" s="34">
        <f t="shared" si="1"/>
        <v>0</v>
      </c>
      <c r="Y55" s="35">
        <f t="shared" si="2"/>
        <v>0</v>
      </c>
      <c r="Z55" s="34">
        <f t="shared" si="3"/>
        <v>0</v>
      </c>
      <c r="AA55" s="34">
        <f t="shared" si="4"/>
        <v>0</v>
      </c>
      <c r="AB55" s="47">
        <v>0</v>
      </c>
      <c r="AC55" s="68" t="str">
        <f t="shared" si="6"/>
        <v/>
      </c>
      <c r="AD55" s="37">
        <f t="shared" si="7"/>
        <v>0</v>
      </c>
    </row>
    <row r="56" spans="2:30" ht="25.5" x14ac:dyDescent="0.2">
      <c r="B56" s="40" t="s">
        <v>129</v>
      </c>
      <c r="C56" s="41" t="s">
        <v>130</v>
      </c>
      <c r="D56" s="41" t="s">
        <v>21</v>
      </c>
      <c r="E56" s="42">
        <v>20000</v>
      </c>
      <c r="F56" s="42">
        <v>75000</v>
      </c>
      <c r="G56" s="43">
        <v>16</v>
      </c>
      <c r="H56" s="44">
        <v>45</v>
      </c>
      <c r="I56" s="44">
        <v>9</v>
      </c>
      <c r="J56" s="45">
        <v>289</v>
      </c>
      <c r="K56" s="59">
        <v>0.64222222222222225</v>
      </c>
      <c r="M56" s="33">
        <v>0</v>
      </c>
      <c r="N56" s="33">
        <v>0</v>
      </c>
      <c r="O56" s="33">
        <v>0</v>
      </c>
      <c r="P56" s="33">
        <v>10000</v>
      </c>
      <c r="Q56" s="33">
        <v>0</v>
      </c>
      <c r="R56" s="33">
        <v>5000</v>
      </c>
      <c r="S56" s="33">
        <v>0</v>
      </c>
      <c r="T56" s="33">
        <v>0</v>
      </c>
      <c r="U56" s="33">
        <v>0</v>
      </c>
      <c r="W56" s="34">
        <f t="shared" si="0"/>
        <v>0</v>
      </c>
      <c r="X56" s="34">
        <f t="shared" si="1"/>
        <v>1666.6666666666667</v>
      </c>
      <c r="Y56" s="35">
        <f t="shared" si="2"/>
        <v>2</v>
      </c>
      <c r="Z56" s="34">
        <f t="shared" si="3"/>
        <v>10000</v>
      </c>
      <c r="AA56" s="34">
        <f t="shared" si="4"/>
        <v>0</v>
      </c>
      <c r="AB56" s="47">
        <v>0</v>
      </c>
      <c r="AC56" s="68">
        <f t="shared" si="6"/>
        <v>20000</v>
      </c>
      <c r="AD56" s="37">
        <f t="shared" si="7"/>
        <v>0</v>
      </c>
    </row>
    <row r="57" spans="2:30" ht="39" thickBot="1" x14ac:dyDescent="0.25">
      <c r="B57" s="48" t="s">
        <v>131</v>
      </c>
      <c r="C57" s="49" t="s">
        <v>132</v>
      </c>
      <c r="D57" s="49" t="s">
        <v>22</v>
      </c>
      <c r="E57" s="50">
        <v>0</v>
      </c>
      <c r="F57" s="50">
        <v>5000</v>
      </c>
      <c r="G57" s="51">
        <v>13</v>
      </c>
      <c r="H57" s="52">
        <v>36</v>
      </c>
      <c r="I57" s="52">
        <v>9</v>
      </c>
      <c r="J57" s="53">
        <v>224</v>
      </c>
      <c r="K57" s="60">
        <v>0.49777777777777776</v>
      </c>
      <c r="M57" s="33">
        <v>0</v>
      </c>
      <c r="N57" s="33">
        <v>0</v>
      </c>
      <c r="O57" s="33">
        <v>0</v>
      </c>
      <c r="P57" s="33">
        <v>0</v>
      </c>
      <c r="Q57" s="33">
        <v>500</v>
      </c>
      <c r="R57" s="33">
        <v>0</v>
      </c>
      <c r="S57" s="33">
        <v>0</v>
      </c>
      <c r="T57" s="33">
        <v>0</v>
      </c>
      <c r="U57" s="33">
        <v>0</v>
      </c>
      <c r="W57" s="34">
        <f t="shared" si="0"/>
        <v>0</v>
      </c>
      <c r="X57" s="34">
        <f t="shared" si="1"/>
        <v>55.555555555555557</v>
      </c>
      <c r="Y57" s="35">
        <f t="shared" si="2"/>
        <v>1</v>
      </c>
      <c r="Z57" s="34">
        <f t="shared" si="3"/>
        <v>500</v>
      </c>
      <c r="AA57" s="34">
        <f t="shared" si="4"/>
        <v>0</v>
      </c>
      <c r="AB57" s="47">
        <v>0</v>
      </c>
      <c r="AC57" s="68" t="str">
        <f t="shared" si="6"/>
        <v/>
      </c>
      <c r="AD57" s="37">
        <f t="shared" si="7"/>
        <v>0</v>
      </c>
    </row>
    <row r="59" spans="2:30" x14ac:dyDescent="0.2">
      <c r="C59" s="54" t="s">
        <v>25</v>
      </c>
      <c r="D59" s="55"/>
      <c r="E59" s="56">
        <v>731115</v>
      </c>
      <c r="F59" s="56">
        <v>3147265</v>
      </c>
      <c r="K59" s="1" t="s">
        <v>133</v>
      </c>
      <c r="M59" s="47">
        <f>+SUM(M6:M57)</f>
        <v>889305</v>
      </c>
      <c r="N59" s="47">
        <f t="shared" ref="N59:X59" si="14">+SUM(N6:N57)</f>
        <v>889305</v>
      </c>
      <c r="O59" s="47">
        <f t="shared" si="14"/>
        <v>889305</v>
      </c>
      <c r="P59" s="47">
        <f t="shared" si="14"/>
        <v>889305</v>
      </c>
      <c r="Q59" s="47">
        <f t="shared" si="14"/>
        <v>889305</v>
      </c>
      <c r="R59" s="47">
        <f t="shared" si="14"/>
        <v>889500</v>
      </c>
      <c r="S59" s="47">
        <f t="shared" si="14"/>
        <v>889305</v>
      </c>
      <c r="T59" s="47">
        <f t="shared" si="14"/>
        <v>889305</v>
      </c>
      <c r="U59" s="47">
        <f t="shared" si="14"/>
        <v>889305</v>
      </c>
      <c r="W59" s="47">
        <f t="shared" si="14"/>
        <v>828005</v>
      </c>
      <c r="X59" s="47">
        <f t="shared" si="14"/>
        <v>889326.6666666664</v>
      </c>
      <c r="AB59" s="47">
        <f>+SUM(AB6:AB57)</f>
        <v>859632</v>
      </c>
      <c r="AC59" s="69"/>
    </row>
    <row r="61" spans="2:30" x14ac:dyDescent="0.2">
      <c r="G61" s="1"/>
      <c r="H61" s="1"/>
      <c r="I61" s="1"/>
      <c r="K61" s="1" t="s">
        <v>134</v>
      </c>
      <c r="M61" s="34">
        <f t="shared" ref="M61:U61" si="15">+$K$2-M59</f>
        <v>0</v>
      </c>
      <c r="N61" s="34">
        <f t="shared" si="15"/>
        <v>0</v>
      </c>
      <c r="O61" s="34">
        <f t="shared" si="15"/>
        <v>0</v>
      </c>
      <c r="P61" s="34">
        <f t="shared" si="15"/>
        <v>0</v>
      </c>
      <c r="Q61" s="34">
        <f t="shared" si="15"/>
        <v>0</v>
      </c>
      <c r="R61" s="34">
        <f t="shared" si="15"/>
        <v>-195</v>
      </c>
      <c r="S61" s="34">
        <f t="shared" si="15"/>
        <v>0</v>
      </c>
      <c r="T61" s="34">
        <f t="shared" si="15"/>
        <v>0</v>
      </c>
      <c r="U61" s="34">
        <f t="shared" si="15"/>
        <v>0</v>
      </c>
      <c r="W61" s="34">
        <f>+$K$2-W59</f>
        <v>61300</v>
      </c>
      <c r="X61" s="34">
        <f>+$K$2-X59</f>
        <v>-21.666666666395031</v>
      </c>
      <c r="AB61" s="34">
        <f>+$K$2-AB59</f>
        <v>29673</v>
      </c>
      <c r="AC61" s="69"/>
    </row>
    <row r="66" spans="13:21" x14ac:dyDescent="0.2">
      <c r="M66" s="57"/>
      <c r="N66" s="57"/>
      <c r="O66" s="57"/>
      <c r="P66" s="57"/>
      <c r="Q66" s="57"/>
      <c r="R66" s="57"/>
      <c r="S66" s="57"/>
      <c r="T66" s="57"/>
      <c r="U66" s="57"/>
    </row>
    <row r="67" spans="13:21" x14ac:dyDescent="0.2">
      <c r="M67" s="58"/>
      <c r="N67" s="58"/>
      <c r="O67" s="58"/>
      <c r="P67" s="58"/>
      <c r="Q67" s="58"/>
      <c r="R67" s="58"/>
      <c r="S67" s="58"/>
      <c r="T67" s="58"/>
      <c r="U67" s="58"/>
    </row>
  </sheetData>
  <autoFilter ref="W5:AD57"/>
  <mergeCells count="2">
    <mergeCell ref="M3:U3"/>
    <mergeCell ref="AI3:AM3"/>
  </mergeCells>
  <conditionalFormatting sqref="M61:U61">
    <cfRule type="cellIs" dxfId="13" priority="14" operator="lessThan">
      <formula>0</formula>
    </cfRule>
  </conditionalFormatting>
  <conditionalFormatting sqref="W61">
    <cfRule type="cellIs" dxfId="12" priority="13" operator="lessThan">
      <formula>0</formula>
    </cfRule>
  </conditionalFormatting>
  <conditionalFormatting sqref="X61">
    <cfRule type="cellIs" dxfId="11" priority="12" operator="lessThan">
      <formula>0</formula>
    </cfRule>
  </conditionalFormatting>
  <conditionalFormatting sqref="AB61:AC61">
    <cfRule type="cellIs" dxfId="10" priority="11" operator="lessThan">
      <formula>0</formula>
    </cfRule>
  </conditionalFormatting>
  <conditionalFormatting sqref="Y6:Y57">
    <cfRule type="cellIs" dxfId="9" priority="8" operator="lessThanOrEqual">
      <formula>$AG$12</formula>
    </cfRule>
    <cfRule type="cellIs" dxfId="8" priority="9" operator="greaterThanOrEqual">
      <formula>$AG$11</formula>
    </cfRule>
    <cfRule type="cellIs" dxfId="7" priority="10" operator="between">
      <formula>$AG$11</formula>
      <formula>$AG$12</formula>
    </cfRule>
  </conditionalFormatting>
  <conditionalFormatting sqref="AM6">
    <cfRule type="cellIs" dxfId="6" priority="7" operator="notEqual">
      <formula>$K$2</formula>
    </cfRule>
  </conditionalFormatting>
  <conditionalFormatting sqref="K6:K57">
    <cfRule type="cellIs" dxfId="5" priority="1" operator="between">
      <formula>$AG$15</formula>
      <formula>$AG$16</formula>
    </cfRule>
    <cfRule type="cellIs" dxfId="4" priority="2" operator="lessThan">
      <formula>$AG$16</formula>
    </cfRule>
    <cfRule type="cellIs" dxfId="3" priority="3" operator="greaterThan">
      <formula>$AG$15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29C4A9AA-87E3-486C-A935-ED318546DC54}">
            <xm:f>'C:\Users\u00215\OneDrive - Buncombe County Government\Desktop\Committee Scoring Models\[Strategic Partnerships Grant Scoring Model (FY2022) - updated.xlsx]Summary'!#REF!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K6:K57</xm:sqref>
        </x14:conditionalFormatting>
        <x14:conditionalFormatting xmlns:xm="http://schemas.microsoft.com/office/excel/2006/main">
          <x14:cfRule type="cellIs" priority="5" operator="lessThan" id="{51772D34-C1FB-40AD-A87F-8D728B500221}">
            <xm:f>'C:\Users\u00215\OneDrive - Buncombe County Government\Desktop\Committee Scoring Models\[Strategic Partnerships Grant Scoring Model (FY2022) - updated.xlsx]Summary'!#REF!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K6:K57</xm:sqref>
        </x14:conditionalFormatting>
        <x14:conditionalFormatting xmlns:xm="http://schemas.microsoft.com/office/excel/2006/main">
          <x14:cfRule type="cellIs" priority="6" operator="between" id="{272B1E9D-8FEE-4129-84ED-E3CF0EAC1908}">
            <xm:f>'C:\Users\u00215\OneDrive - Buncombe County Government\Desktop\Committee Scoring Models\[Strategic Partnerships Grant Scoring Model (FY2022) - updated.xlsx]Summary'!#REF!</xm:f>
            <xm:f>'C:\Users\u00215\OneDrive - Buncombe County Government\Desktop\Committee Scoring Models\[Strategic Partnerships Grant Scoring Model (FY2022) - updated.xlsx]Summary'!#REF!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K6:K57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639D9C7E0EE440841D865E5B331AF6" ma:contentTypeVersion="10" ma:contentTypeDescription="Create a new document." ma:contentTypeScope="" ma:versionID="a3d868cc5bba7bc3a31a8269e1d81567">
  <xsd:schema xmlns:xsd="http://www.w3.org/2001/XMLSchema" xmlns:xs="http://www.w3.org/2001/XMLSchema" xmlns:p="http://schemas.microsoft.com/office/2006/metadata/properties" xmlns:ns3="1d5157c5-0b34-4019-b892-cdf3cbd0bba6" xmlns:ns4="22fea025-f330-4e09-ac07-e6edffb86c86" targetNamespace="http://schemas.microsoft.com/office/2006/metadata/properties" ma:root="true" ma:fieldsID="988c52968554d0290600b6617687416d" ns3:_="" ns4:_="">
    <xsd:import namespace="1d5157c5-0b34-4019-b892-cdf3cbd0bba6"/>
    <xsd:import namespace="22fea025-f330-4e09-ac07-e6edffb86c8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157c5-0b34-4019-b892-cdf3cbd0bb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ea025-f330-4e09-ac07-e6edffb86c8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34F921-E880-4AE4-A6C0-4DFC286CA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157c5-0b34-4019-b892-cdf3cbd0bba6"/>
    <ds:schemaRef ds:uri="22fea025-f330-4e09-ac07-e6edffb86c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C38964-33CE-43A6-BAFC-4F1E0B41F1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B3A931-7866-4CE7-9AA8-3099B69EAE1B}">
  <ds:schemaRefs>
    <ds:schemaRef ds:uri="http://schemas.microsoft.com/office/infopath/2007/PartnerControls"/>
    <ds:schemaRef ds:uri="http://purl.org/dc/dcmitype/"/>
    <ds:schemaRef ds:uri="1d5157c5-0b34-4019-b892-cdf3cbd0bba6"/>
    <ds:schemaRef ds:uri="http://www.w3.org/XML/1998/namespace"/>
    <ds:schemaRef ds:uri="http://purl.org/dc/elements/1.1/"/>
    <ds:schemaRef ds:uri="http://schemas.microsoft.com/office/2006/documentManagement/types"/>
    <ds:schemaRef ds:uri="22fea025-f330-4e09-ac07-e6edffb86c86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Summary</vt:lpstr>
    </vt:vector>
  </TitlesOfParts>
  <Company>Buncombe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Burnett Walz</dc:creator>
  <cp:lastModifiedBy>Burnett Walz</cp:lastModifiedBy>
  <dcterms:created xsi:type="dcterms:W3CDTF">2021-04-14T21:33:39Z</dcterms:created>
  <dcterms:modified xsi:type="dcterms:W3CDTF">2021-04-15T21:01:10Z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0x010100C6639D9C7E0EE440841D865E5B331AF6</vt:lpwstr>
  </property>
</Properties>
</file>